
<file path=[Content_Types].xml><?xml version="1.0" encoding="utf-8"?>
<Types xmlns="http://schemas.openxmlformats.org/package/2006/content-types">
  <Default Extension="vml" ContentType="application/vnd.openxmlformats-officedocument.vmlDrawing"/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ЭтаКнига"/>
  <bookViews>
    <workbookView windowWidth="28800" windowHeight="12495" firstSheet="7" activeTab="15"/>
  </bookViews>
  <sheets>
    <sheet name="19-20-01AWPC MP soft eq. BP" sheetId="58" r:id="rId1"/>
    <sheet name="AWPC MP soft eq. BP" sheetId="57" r:id="rId2"/>
    <sheet name="WPC soft eq. BP" sheetId="52" r:id="rId3"/>
    <sheet name="MR BP 1_2 bw. AWPC" sheetId="48" r:id="rId4"/>
    <sheet name="MR BP 1 bw. AWPC" sheetId="46" r:id="rId5"/>
    <sheet name="WPA SC" sheetId="32" r:id="rId6"/>
    <sheet name="AWPA SC" sheetId="31" r:id="rId7"/>
    <sheet name="AWPA OB" sheetId="29" r:id="rId8"/>
    <sheet name="AWPA raw PL" sheetId="26" r:id="rId9"/>
    <sheet name="AWPA raw BP" sheetId="23" r:id="rId10"/>
    <sheet name="AWPA raw DL" sheetId="20" r:id="rId11"/>
    <sheet name="WPA raw PL" sheetId="17" r:id="rId12"/>
    <sheet name="WPA m.ply BP" sheetId="16" r:id="rId13"/>
    <sheet name="WPA st.ply BP" sheetId="15" r:id="rId14"/>
    <sheet name="WPA raw BP" sheetId="14" r:id="rId15"/>
    <sheet name="WPA raw DL" sheetId="11" r:id="rId16"/>
    <sheet name="«Excalibur»" sheetId="10" r:id="rId17"/>
    <sheet name="«Rus brick»" sheetId="8" r:id="rId18"/>
    <sheet name="«Rus HUB»" sheetId="7" r:id="rId19"/>
    <sheet name="«Rus Axle»" sheetId="6" r:id="rId20"/>
    <sheet name="«Russian Roullette»" sheetId="5" r:id="rId21"/>
  </sheets>
  <definedNames>
    <definedName name="_xlnm._FilterDatabase" localSheetId="20" hidden="1">'«Russian Roullette»'!$A$1:$K$3</definedName>
  </definedNames>
  <calcPr calcId="144525" refMode="R1C1"/>
</workbook>
</file>

<file path=xl/sharedStrings.xml><?xml version="1.0" encoding="utf-8"?>
<sst xmlns="http://schemas.openxmlformats.org/spreadsheetml/2006/main" count="2834" uniqueCount="875">
  <si>
    <t>WORLD POWERLIFTING CUP WPA/AWPA
AWPC MP soft eq. benchpress
Russian Federation/Moscow 20-21 november 2021</t>
  </si>
  <si>
    <t>Name</t>
  </si>
  <si>
    <t>Age Class
Bith date/Age</t>
  </si>
  <si>
    <t>Body
weight</t>
  </si>
  <si>
    <t>Gloss</t>
  </si>
  <si>
    <t>Team</t>
  </si>
  <si>
    <t>Town/Country</t>
  </si>
  <si>
    <t>Benchpress</t>
  </si>
  <si>
    <t>Result</t>
  </si>
  <si>
    <t>Pts</t>
  </si>
  <si>
    <t>Coach</t>
  </si>
  <si>
    <t>Rec</t>
  </si>
  <si>
    <t>Body Weight Category  110</t>
  </si>
  <si>
    <t>1. Sukharev Andrey</t>
  </si>
  <si>
    <t>Open (22.07.1974)/47</t>
  </si>
  <si>
    <t>108,60</t>
  </si>
  <si>
    <t>Lyubera</t>
  </si>
  <si>
    <t>RUS/Lyubertsy</t>
  </si>
  <si>
    <t>340,0</t>
  </si>
  <si>
    <t>407,5</t>
  </si>
  <si>
    <t>Meet director:</t>
  </si>
  <si>
    <t>Head secretary:</t>
  </si>
  <si>
    <t>Head Referee:</t>
  </si>
  <si>
    <t>Side Referyy Left:</t>
  </si>
  <si>
    <t>Side Referyy Right:</t>
  </si>
  <si>
    <t>Fligth secretary:</t>
  </si>
  <si>
    <t>List absolute winners</t>
  </si>
  <si>
    <t>Man</t>
  </si>
  <si>
    <t>Open</t>
  </si>
  <si>
    <t>Age class</t>
  </si>
  <si>
    <t>WC</t>
  </si>
  <si>
    <t>Best</t>
  </si>
  <si>
    <t>Sukharev Andrey</t>
  </si>
  <si>
    <t>110</t>
  </si>
  <si>
    <t>230,0541</t>
  </si>
  <si>
    <t>WORLD POWERLIFTING CUP WPA/AWPA
AWPC st. soft eq. benchpress
Russian Federation/Moscow 20-21 november 2021</t>
  </si>
  <si>
    <t>Body Weight Category  67.5</t>
  </si>
  <si>
    <t>1. Kharina Valentina</t>
  </si>
  <si>
    <t>Open (24.12.1977)/43</t>
  </si>
  <si>
    <t>64,50</t>
  </si>
  <si>
    <t>RUS/Moskva</t>
  </si>
  <si>
    <t>125,0</t>
  </si>
  <si>
    <t>135,0</t>
  </si>
  <si>
    <t>142,5</t>
  </si>
  <si>
    <t>1. Prokopova Elena</t>
  </si>
  <si>
    <t>Masters 55-59 (07.03.1966)/55</t>
  </si>
  <si>
    <t>66,60</t>
  </si>
  <si>
    <t>120,0</t>
  </si>
  <si>
    <t>130,0</t>
  </si>
  <si>
    <t>140,0</t>
  </si>
  <si>
    <t>Body Weight Category  82.5</t>
  </si>
  <si>
    <t>1. Zhigulin Konstantin</t>
  </si>
  <si>
    <t>Open (03.10.1987)/34</t>
  </si>
  <si>
    <t>81,10</t>
  </si>
  <si>
    <t>240,0</t>
  </si>
  <si>
    <t>260,0</t>
  </si>
  <si>
    <t>283,0</t>
  </si>
  <si>
    <t>Varava Igor</t>
  </si>
  <si>
    <t>Body Weight Category  90</t>
  </si>
  <si>
    <t>-. Dashkevich Roman</t>
  </si>
  <si>
    <t>Open (12.02.1983)/38</t>
  </si>
  <si>
    <t>88,90</t>
  </si>
  <si>
    <t>lichno</t>
  </si>
  <si>
    <t>RUS/Safonovo</t>
  </si>
  <si>
    <t>215,0</t>
  </si>
  <si>
    <t>220,0</t>
  </si>
  <si>
    <t>1. Altukhov Aleksey</t>
  </si>
  <si>
    <t>Open (11.12.1984)/36</t>
  </si>
  <si>
    <t>109,20</t>
  </si>
  <si>
    <t>190,0</t>
  </si>
  <si>
    <t>212,5</t>
  </si>
  <si>
    <t>225,0</t>
  </si>
  <si>
    <t>Body Weight Category  125</t>
  </si>
  <si>
    <t>1. Ilyin Andrey</t>
  </si>
  <si>
    <t>Masters 45-49 (28.06.1976)/45</t>
  </si>
  <si>
    <t>119,10</t>
  </si>
  <si>
    <t>RUS/Vidnoye</t>
  </si>
  <si>
    <t>280,0</t>
  </si>
  <si>
    <t>300,0</t>
  </si>
  <si>
    <t>Deyev Aleksandr</t>
  </si>
  <si>
    <t>Women</t>
  </si>
  <si>
    <t>Kharina Valentina</t>
  </si>
  <si>
    <t>67.5</t>
  </si>
  <si>
    <t>125,8605</t>
  </si>
  <si>
    <t>Masters</t>
  </si>
  <si>
    <t>Prokopova Elena</t>
  </si>
  <si>
    <t>Masters 55-59</t>
  </si>
  <si>
    <t>155,9192</t>
  </si>
  <si>
    <t>Zhigulin Konstantin</t>
  </si>
  <si>
    <t>82.5</t>
  </si>
  <si>
    <t>156,4440</t>
  </si>
  <si>
    <t>Altukhov Aleksey</t>
  </si>
  <si>
    <t>119,7756</t>
  </si>
  <si>
    <t>Ilyin Andrey</t>
  </si>
  <si>
    <t>Masters 45-49</t>
  </si>
  <si>
    <t>125</t>
  </si>
  <si>
    <t>163,0165</t>
  </si>
  <si>
    <t>WORLD POWERLIFTING CUP WPA/AWPA
WPC st. soft eq. benchpress
Russian Federation/Moscow 20-21 november 2021</t>
  </si>
  <si>
    <t>1. Bartenev Aleksey</t>
  </si>
  <si>
    <t>Masters 45-49 (01.03.1975)/46</t>
  </si>
  <si>
    <t>81,30</t>
  </si>
  <si>
    <t>255,0</t>
  </si>
  <si>
    <t>265,0</t>
  </si>
  <si>
    <t>270,0</t>
  </si>
  <si>
    <t>Body Weight Category  100</t>
  </si>
  <si>
    <t>1. Semenov Roman</t>
  </si>
  <si>
    <t>Open (12.11.1979)/42</t>
  </si>
  <si>
    <t>98,20</t>
  </si>
  <si>
    <t>RUS/Korolev</t>
  </si>
  <si>
    <t>320,0</t>
  </si>
  <si>
    <t>352,5</t>
  </si>
  <si>
    <t>1. Filatov Leonid</t>
  </si>
  <si>
    <t>Masters 40-44 (14.09.1978)/43</t>
  </si>
  <si>
    <t>96,70</t>
  </si>
  <si>
    <t>250,0</t>
  </si>
  <si>
    <t>1. Tsvetkov Aleksandr</t>
  </si>
  <si>
    <t>Masters 60-64 (10.04.1957)/64</t>
  </si>
  <si>
    <t>100,00</t>
  </si>
  <si>
    <t>RUS/Dubna</t>
  </si>
  <si>
    <t>150,0</t>
  </si>
  <si>
    <t>155,0</t>
  </si>
  <si>
    <t>1. Leonov Pavel</t>
  </si>
  <si>
    <t>Open (08.11.1983)/38</t>
  </si>
  <si>
    <t>104,70</t>
  </si>
  <si>
    <t>RUS/Losino-Petrovskiy</t>
  </si>
  <si>
    <t>380,0</t>
  </si>
  <si>
    <t>400,0</t>
  </si>
  <si>
    <t>1. Emelyanov Nikolay</t>
  </si>
  <si>
    <t>Masters 40-44 (30.08.1979)/42</t>
  </si>
  <si>
    <t>106,00</t>
  </si>
  <si>
    <t>287,5</t>
  </si>
  <si>
    <t>310,0</t>
  </si>
  <si>
    <t>332,5</t>
  </si>
  <si>
    <t>Leonov Pavel</t>
  </si>
  <si>
    <t>217,0750</t>
  </si>
  <si>
    <t>Semenov Roman</t>
  </si>
  <si>
    <t>100</t>
  </si>
  <si>
    <t>187,4720</t>
  </si>
  <si>
    <t>Bartenev Aleksey</t>
  </si>
  <si>
    <t>177,2389</t>
  </si>
  <si>
    <t>Emelyanov Nikolay</t>
  </si>
  <si>
    <t>Masters 40-44</t>
  </si>
  <si>
    <t>166,8153</t>
  </si>
  <si>
    <t>Filatov Leonid</t>
  </si>
  <si>
    <t>158,1420</t>
  </si>
  <si>
    <t>Tsvetkov Aleksandr</t>
  </si>
  <si>
    <t>Masters 60-64</t>
  </si>
  <si>
    <t>126,4328</t>
  </si>
  <si>
    <t>WORLD POWERLIFTING CUP WPA/AWPA
Multy-repeat BP 1/2 bw. AWPC
Russian Federation/Moscow 20-21 november 2021</t>
  </si>
  <si>
    <t>Multi.rpt. benchpress</t>
  </si>
  <si>
    <t>Tonnage</t>
  </si>
  <si>
    <t>Weight</t>
  </si>
  <si>
    <t>Rpt</t>
  </si>
  <si>
    <t>1. Mishin Vyacheslav</t>
  </si>
  <si>
    <t>Teen 13-19 (13.08.2004)/17</t>
  </si>
  <si>
    <t>63,20</t>
  </si>
  <si>
    <t>komanda Andreya Gorskogo</t>
  </si>
  <si>
    <t>32,5</t>
  </si>
  <si>
    <t>38,0</t>
  </si>
  <si>
    <t>Gorskiy Andrey</t>
  </si>
  <si>
    <t>Teen</t>
  </si>
  <si>
    <t>Mishin Vyacheslav</t>
  </si>
  <si>
    <t>Teen 13-19</t>
  </si>
  <si>
    <t>1235,0</t>
  </si>
  <si>
    <t>979,4167</t>
  </si>
  <si>
    <t>WORLD POWERLIFTING CUP WPA/AWPA
Multy-repeat BP 1 bw. AWPC
Russian Federation/Moscow 20-21 november 2021</t>
  </si>
  <si>
    <t>1. Komarevtsev Anton</t>
  </si>
  <si>
    <t>Open (23.01.1987)/34</t>
  </si>
  <si>
    <t>65,80</t>
  </si>
  <si>
    <t>67,5</t>
  </si>
  <si>
    <t>31,0</t>
  </si>
  <si>
    <t>Body Weight Category  75</t>
  </si>
  <si>
    <t>1. Sumarokov Ilya</t>
  </si>
  <si>
    <t>Open (12.08.1997)/24</t>
  </si>
  <si>
    <t>69,40</t>
  </si>
  <si>
    <t>70,0</t>
  </si>
  <si>
    <t>44,0</t>
  </si>
  <si>
    <t>1. Gorskiy Andrey</t>
  </si>
  <si>
    <t>Open (21.12.1983)/37</t>
  </si>
  <si>
    <t>87,50</t>
  </si>
  <si>
    <t>87,5</t>
  </si>
  <si>
    <t>23,0</t>
  </si>
  <si>
    <t>1. Medvedev Vladimir</t>
  </si>
  <si>
    <t>Masters 40-49 (15.02.1975)/46</t>
  </si>
  <si>
    <t>98,00</t>
  </si>
  <si>
    <t>Olimp</t>
  </si>
  <si>
    <t>RUS/Nakhabino</t>
  </si>
  <si>
    <t>100,0</t>
  </si>
  <si>
    <t>13,0</t>
  </si>
  <si>
    <t>Sumarokov Ilya</t>
  </si>
  <si>
    <t>75</t>
  </si>
  <si>
    <t>3080,0</t>
  </si>
  <si>
    <t>2252,5580</t>
  </si>
  <si>
    <t>Komarevtsev Anton</t>
  </si>
  <si>
    <t>2092,5</t>
  </si>
  <si>
    <t>1600,8671</t>
  </si>
  <si>
    <t>90</t>
  </si>
  <si>
    <t>2012,5</t>
  </si>
  <si>
    <t>1251,2719</t>
  </si>
  <si>
    <t>Medvedev Vladimir</t>
  </si>
  <si>
    <t>Masters 40-49</t>
  </si>
  <si>
    <t>1300,0</t>
  </si>
  <si>
    <t>814,0884</t>
  </si>
  <si>
    <t>WORLD POWERLIFTING CUP WPA/AWPA
WPA Strict Curl
Russian Federation/Moscow 20-21 november 2021</t>
  </si>
  <si>
    <t>Shv/Mel</t>
  </si>
  <si>
    <t>Biceps curl</t>
  </si>
  <si>
    <t>1. Gorgul Olga</t>
  </si>
  <si>
    <t>Open (10.08.1981)/40</t>
  </si>
  <si>
    <t>62,70</t>
  </si>
  <si>
    <t>RUS/Krasnogorsk</t>
  </si>
  <si>
    <t>30,0</t>
  </si>
  <si>
    <t>35,0</t>
  </si>
  <si>
    <t>37,5</t>
  </si>
  <si>
    <t>1. Yumshanov Dmitriy</t>
  </si>
  <si>
    <t>Open (27.02.1980)/41</t>
  </si>
  <si>
    <t>75,00</t>
  </si>
  <si>
    <t>RUS/Kirov</t>
  </si>
  <si>
    <t>65,0</t>
  </si>
  <si>
    <t>Masters 40-44 (27.02.1980)/41</t>
  </si>
  <si>
    <t>Gorgul Olga</t>
  </si>
  <si>
    <t>29,0185</t>
  </si>
  <si>
    <t>Yumshanov Dmitriy</t>
  </si>
  <si>
    <t>43,1925</t>
  </si>
  <si>
    <t>43,3221</t>
  </si>
  <si>
    <t>WORLD POWERLIFTING CUP WPA/AWPA
AWPA Strict Curl
Russian Federation/Moscow 20-21 november 2021</t>
  </si>
  <si>
    <t>1. Gerasimov Artur</t>
  </si>
  <si>
    <t>Open (28.10.1988)/33</t>
  </si>
  <si>
    <t>74,50</t>
  </si>
  <si>
    <t>42,5</t>
  </si>
  <si>
    <t>50,0</t>
  </si>
  <si>
    <t>57,5</t>
  </si>
  <si>
    <t>1. Bodrenkov Pavel</t>
  </si>
  <si>
    <t>Open (21.10.1991)/30</t>
  </si>
  <si>
    <t>80,40</t>
  </si>
  <si>
    <t>RUS/Moskovskiy</t>
  </si>
  <si>
    <t>52,5</t>
  </si>
  <si>
    <t>55,0</t>
  </si>
  <si>
    <t>2. Khakyashev Stepan</t>
  </si>
  <si>
    <t>Open (23.06.1982)/39</t>
  </si>
  <si>
    <t>80,80</t>
  </si>
  <si>
    <t>60,0</t>
  </si>
  <si>
    <t>-. Igoshin Vitaliy</t>
  </si>
  <si>
    <t>Open (08.02.1991)/30</t>
  </si>
  <si>
    <t>80,20</t>
  </si>
  <si>
    <t>RUS/Zhukovskiy</t>
  </si>
  <si>
    <t>1. Rabekhov Temur</t>
  </si>
  <si>
    <t>Open (06.04.1992)/29</t>
  </si>
  <si>
    <t>97,00</t>
  </si>
  <si>
    <t>RUS/Podolsk</t>
  </si>
  <si>
    <t>62,5</t>
  </si>
  <si>
    <t>2. Bodrenkov Victor</t>
  </si>
  <si>
    <t>Open (10.06.1990)/31</t>
  </si>
  <si>
    <t>90,40</t>
  </si>
  <si>
    <t>1. Lomakin Andrey</t>
  </si>
  <si>
    <t>Masters 45-49 (21.09.1976)/45</t>
  </si>
  <si>
    <t>95,70</t>
  </si>
  <si>
    <t>Rabekhov Temur</t>
  </si>
  <si>
    <t>36,5235</t>
  </si>
  <si>
    <t>Bodrenkov Pavel</t>
  </si>
  <si>
    <t>34,6885</t>
  </si>
  <si>
    <t>Bodrenkov Victor</t>
  </si>
  <si>
    <t>33,5685</t>
  </si>
  <si>
    <t>Khakyashev Stepan</t>
  </si>
  <si>
    <t>33,5160</t>
  </si>
  <si>
    <t>Gerasimov Artur</t>
  </si>
  <si>
    <t>33,4000</t>
  </si>
  <si>
    <t>Lomakin Andrey</t>
  </si>
  <si>
    <t>32,6069</t>
  </si>
  <si>
    <t>WORLD POWERLIFTING CUP WPA/AWPA
AWPA OVERHEAD BENCH
Russian Federation/Moscow 20-21 november 2021</t>
  </si>
  <si>
    <t>Overhead press</t>
  </si>
  <si>
    <t>Body Weight Category  56</t>
  </si>
  <si>
    <t>1. Davidova Kseniya</t>
  </si>
  <si>
    <t>Open (17.03.1991)/30</t>
  </si>
  <si>
    <t>53,90</t>
  </si>
  <si>
    <t>25,0</t>
  </si>
  <si>
    <t>1. Solomakhin Aleksandr</t>
  </si>
  <si>
    <t>Open (27.06.1984)/37</t>
  </si>
  <si>
    <t>79,70</t>
  </si>
  <si>
    <t>RUS/Novocherkassk</t>
  </si>
  <si>
    <t>70,5</t>
  </si>
  <si>
    <t>Davidova Kseniya</t>
  </si>
  <si>
    <t>56</t>
  </si>
  <si>
    <t>28,2150</t>
  </si>
  <si>
    <t>Solomakhin Aleksandr</t>
  </si>
  <si>
    <t>44,4290</t>
  </si>
  <si>
    <t>Sub</t>
  </si>
  <si>
    <t>Sub Masters 33-39</t>
  </si>
  <si>
    <t>37,0533</t>
  </si>
  <si>
    <t>WORLD POWERLIFTING CUP WPA/AWPA
AWPA raw powerlifting
Russian Federation/Moscow 20-21 november 2021</t>
  </si>
  <si>
    <t>Squat</t>
  </si>
  <si>
    <t>Deadlift</t>
  </si>
  <si>
    <t>Total</t>
  </si>
  <si>
    <t>Body Weight Category  52</t>
  </si>
  <si>
    <t>1. Mushchinkina Elena</t>
  </si>
  <si>
    <t>Open (10.09.1983)/38</t>
  </si>
  <si>
    <t>50,80</t>
  </si>
  <si>
    <t>RUS/Egoryevsk</t>
  </si>
  <si>
    <t>105,0</t>
  </si>
  <si>
    <t>110,0</t>
  </si>
  <si>
    <t>107,5</t>
  </si>
  <si>
    <t>1. Gryazeva Darya</t>
  </si>
  <si>
    <t>Juniors 20-23 (03.12.1997)/23</t>
  </si>
  <si>
    <t>61,40</t>
  </si>
  <si>
    <t>75,0</t>
  </si>
  <si>
    <t>82,5</t>
  </si>
  <si>
    <t>47,5</t>
  </si>
  <si>
    <t>1. Vyshinskiy Nikita</t>
  </si>
  <si>
    <t>Teen 13-15 (30.11.2007)/13</t>
  </si>
  <si>
    <t>55,80</t>
  </si>
  <si>
    <t>117,5</t>
  </si>
  <si>
    <t>102,5</t>
  </si>
  <si>
    <t>112,5</t>
  </si>
  <si>
    <t>Myakishev S.V.</t>
  </si>
  <si>
    <t>1. Ali Al-Lami</t>
  </si>
  <si>
    <t>Open (16.08.1996)/25</t>
  </si>
  <si>
    <t>Iraq</t>
  </si>
  <si>
    <t>IRQ/Iraq</t>
  </si>
  <si>
    <t>115,0</t>
  </si>
  <si>
    <t>1. Choinkhor Altangerel</t>
  </si>
  <si>
    <t>Open (11.02.1996)/25</t>
  </si>
  <si>
    <t>81,20</t>
  </si>
  <si>
    <t>MNG/Mongoliya</t>
  </si>
  <si>
    <t>180,0</t>
  </si>
  <si>
    <t>200,0</t>
  </si>
  <si>
    <t>210,0</t>
  </si>
  <si>
    <t>160,0</t>
  </si>
  <si>
    <t>170,0</t>
  </si>
  <si>
    <t>1. Hasah Almhanee</t>
  </si>
  <si>
    <t>Teen 18-19 (17.11.2003)/18</t>
  </si>
  <si>
    <t>89,50</t>
  </si>
  <si>
    <t>172,5</t>
  </si>
  <si>
    <t>1. Toporov Kirill</t>
  </si>
  <si>
    <t>Open (27.07.1999)/22</t>
  </si>
  <si>
    <t>89,80</t>
  </si>
  <si>
    <t>202,5</t>
  </si>
  <si>
    <t>232,5</t>
  </si>
  <si>
    <t>237,5</t>
  </si>
  <si>
    <t>-. Abdulkareem Al-Isawi</t>
  </si>
  <si>
    <t>Open (01.05.1988)/33</t>
  </si>
  <si>
    <t>1. Hamzan Al-Jaryan</t>
  </si>
  <si>
    <t>Open (26.09.1990)/31</t>
  </si>
  <si>
    <t>105,10</t>
  </si>
  <si>
    <t>235,0</t>
  </si>
  <si>
    <t>165,0</t>
  </si>
  <si>
    <t>175,0</t>
  </si>
  <si>
    <t>230,0</t>
  </si>
  <si>
    <t>2. Khasanov Stepan</t>
  </si>
  <si>
    <t>Open (19.11.1987)/34</t>
  </si>
  <si>
    <t>107,80</t>
  </si>
  <si>
    <t>RUS/Nizhniy Novgorod</t>
  </si>
  <si>
    <t>195,0</t>
  </si>
  <si>
    <t>Body Weight Category  140</t>
  </si>
  <si>
    <t>1. Hasan Almashkoor</t>
  </si>
  <si>
    <t>Open (19.04.1994)/27</t>
  </si>
  <si>
    <t>130,90</t>
  </si>
  <si>
    <t>Juniors</t>
  </si>
  <si>
    <t>Totall</t>
  </si>
  <si>
    <t>Gryazeva Darya</t>
  </si>
  <si>
    <t>Juniors 20-23</t>
  </si>
  <si>
    <t>207,5</t>
  </si>
  <si>
    <t>175,0885</t>
  </si>
  <si>
    <t>Mushchinkina Elena</t>
  </si>
  <si>
    <t>52</t>
  </si>
  <si>
    <t>275,0</t>
  </si>
  <si>
    <t>271,4800</t>
  </si>
  <si>
    <t>Hasah Almhanee</t>
  </si>
  <si>
    <t>Teen 18-19</t>
  </si>
  <si>
    <t>487,5</t>
  </si>
  <si>
    <t>286,3088</t>
  </si>
  <si>
    <t>Vyshinskiy Nikita</t>
  </si>
  <si>
    <t>Teen 13-15</t>
  </si>
  <si>
    <t>277,5</t>
  </si>
  <si>
    <t>243,7005</t>
  </si>
  <si>
    <t>Toporov Kirill</t>
  </si>
  <si>
    <t>602,5</t>
  </si>
  <si>
    <t>353,1252</t>
  </si>
  <si>
    <t>Hamzan Al-Jaryan</t>
  </si>
  <si>
    <t>640,0</t>
  </si>
  <si>
    <t>347,9040</t>
  </si>
  <si>
    <t>Khasanov Stepan</t>
  </si>
  <si>
    <t>575,0</t>
  </si>
  <si>
    <t>310,0975</t>
  </si>
  <si>
    <t>Choinkhor Altangerel</t>
  </si>
  <si>
    <t>490,0</t>
  </si>
  <si>
    <t>306,8380</t>
  </si>
  <si>
    <t>Hasan Almashkoor</t>
  </si>
  <si>
    <t>140</t>
  </si>
  <si>
    <t>595,0</t>
  </si>
  <si>
    <t>305,7705</t>
  </si>
  <si>
    <t>Ali Al-Lami</t>
  </si>
  <si>
    <t>385,0</t>
  </si>
  <si>
    <t>282,8595</t>
  </si>
  <si>
    <t>WORLD POWERLIFTING CUP WPA/AWPA
AWPA raw benchpress
Russian Federation/Moscow 20-21 november 2021</t>
  </si>
  <si>
    <t>1. Kandaurova Vasilisa</t>
  </si>
  <si>
    <t>Teen 18-19 (26.11.2001)/19</t>
  </si>
  <si>
    <t>53,20</t>
  </si>
  <si>
    <t>1. Medvedeva Marina</t>
  </si>
  <si>
    <t>Masters 45-49 (19.05.1974)/47</t>
  </si>
  <si>
    <t>RUS/Dedovsk</t>
  </si>
  <si>
    <t>1. Kardakova Nalatya</t>
  </si>
  <si>
    <t>Masters 40-44 (15.06.1981)/40</t>
  </si>
  <si>
    <t>73,90</t>
  </si>
  <si>
    <t>RUS/Tver</t>
  </si>
  <si>
    <t>80,0</t>
  </si>
  <si>
    <t>1. Finkelbaum Mark</t>
  </si>
  <si>
    <t>Teen 13-15 (25.04.2008)/13</t>
  </si>
  <si>
    <t>62,90</t>
  </si>
  <si>
    <t>40,0</t>
  </si>
  <si>
    <t>2. Morozov Aleksey</t>
  </si>
  <si>
    <t>Open (15.01.1982)/39</t>
  </si>
  <si>
    <t>67,40</t>
  </si>
  <si>
    <t>122,5</t>
  </si>
  <si>
    <t>3. Sulakadze Vladimir</t>
  </si>
  <si>
    <t>Open (16.06.1990)/31</t>
  </si>
  <si>
    <t>66,90</t>
  </si>
  <si>
    <t>1. Svirskiy Aleksandr</t>
  </si>
  <si>
    <t>Open (28.11.1992)/28</t>
  </si>
  <si>
    <t>2. Samara Stanislav</t>
  </si>
  <si>
    <t>Open (14.03.1989)/32</t>
  </si>
  <si>
    <t>68,60</t>
  </si>
  <si>
    <t>3. Khlyustov Victor</t>
  </si>
  <si>
    <t>Open (20.03.1983)/38</t>
  </si>
  <si>
    <t>73,10</t>
  </si>
  <si>
    <t>RUS/Lobnya</t>
  </si>
  <si>
    <t>95,0</t>
  </si>
  <si>
    <t>1. Borisov Dmitriy</t>
  </si>
  <si>
    <t>Juniors 20-23 (27.01.1999)/22</t>
  </si>
  <si>
    <t>82,30</t>
  </si>
  <si>
    <t>RUS/Istra</t>
  </si>
  <si>
    <t>1. Savin Artem</t>
  </si>
  <si>
    <t>Open (29.07.1986)/35</t>
  </si>
  <si>
    <t>RUS/Chelyabinsk</t>
  </si>
  <si>
    <t>137,5</t>
  </si>
  <si>
    <t>145,0</t>
  </si>
  <si>
    <t>147,5</t>
  </si>
  <si>
    <t>Berlin Pavel</t>
  </si>
  <si>
    <t>2. Grabenko Artem</t>
  </si>
  <si>
    <t>Open (22.05.1989)/32</t>
  </si>
  <si>
    <t>81,80</t>
  </si>
  <si>
    <t>3. Travilin Ruslan</t>
  </si>
  <si>
    <t>Open (27.10.1989)/32</t>
  </si>
  <si>
    <t>81,90</t>
  </si>
  <si>
    <t>90,0</t>
  </si>
  <si>
    <t>-. Kretov Sergey</t>
  </si>
  <si>
    <t>Masters 45-49 (23.05.1973)/48</t>
  </si>
  <si>
    <t>80,50</t>
  </si>
  <si>
    <t>1. Mischenko Artem</t>
  </si>
  <si>
    <t>Open (26.06.1984)/37</t>
  </si>
  <si>
    <t>89,90</t>
  </si>
  <si>
    <t>192,5</t>
  </si>
  <si>
    <t>Chokayev Umar</t>
  </si>
  <si>
    <t>2. Nikonov Denis</t>
  </si>
  <si>
    <t>Open (21.03.1982)/39</t>
  </si>
  <si>
    <t>89,00</t>
  </si>
  <si>
    <t>152,5</t>
  </si>
  <si>
    <t>157,5</t>
  </si>
  <si>
    <t>3. Samorokov Anton</t>
  </si>
  <si>
    <t>Open (03.01.1982)/39</t>
  </si>
  <si>
    <t>88,40</t>
  </si>
  <si>
    <t>4. Glushkov Mikhail</t>
  </si>
  <si>
    <t>Open (14.11.1996)/25</t>
  </si>
  <si>
    <t>88,70</t>
  </si>
  <si>
    <t>132,5</t>
  </si>
  <si>
    <t>1. Dodonov Sergey</t>
  </si>
  <si>
    <t>Sub Masters 33-39 (10.02.1988)/33</t>
  </si>
  <si>
    <t>127,5</t>
  </si>
  <si>
    <t>Kudinov Andrey</t>
  </si>
  <si>
    <t>1. Chekrenev Valentin</t>
  </si>
  <si>
    <t>Open (02.01.1984)/37</t>
  </si>
  <si>
    <t>99,60</t>
  </si>
  <si>
    <t>2. Abdulkareem Al-Isawi</t>
  </si>
  <si>
    <t>1. Kolchev Sergey</t>
  </si>
  <si>
    <t>Masters 40-44 (20.05.1979)/42</t>
  </si>
  <si>
    <t>98,80</t>
  </si>
  <si>
    <t>RUS/Reutov</t>
  </si>
  <si>
    <t>162,5</t>
  </si>
  <si>
    <t>-. Medvedev Vladimir</t>
  </si>
  <si>
    <t>Masters 45-49 (15.02.1975)/46</t>
  </si>
  <si>
    <t>1. Zinkevich Pavel</t>
  </si>
  <si>
    <t>Masters 55-59 (26.03.1964)/57</t>
  </si>
  <si>
    <t>RUS/Kazan</t>
  </si>
  <si>
    <t>1. Bulgak Viorel</t>
  </si>
  <si>
    <t>Open (10.10.1985)/36</t>
  </si>
  <si>
    <t>108,10</t>
  </si>
  <si>
    <t>197,5</t>
  </si>
  <si>
    <t>1. Dudchik Mikhail</t>
  </si>
  <si>
    <t>Masters 45-49 (29.04.1973)/48</t>
  </si>
  <si>
    <t>108,80</t>
  </si>
  <si>
    <t>1. Litovtsev Vasiliy</t>
  </si>
  <si>
    <t>Masters 50-54 (27.06.1968)/53</t>
  </si>
  <si>
    <t>102,00</t>
  </si>
  <si>
    <t>167,5</t>
  </si>
  <si>
    <t>2. Bichkov Igor</t>
  </si>
  <si>
    <t>Masters 50-54 (18.06.1970)/51</t>
  </si>
  <si>
    <t>107,20</t>
  </si>
  <si>
    <t>Dinamo-32</t>
  </si>
  <si>
    <t>Open (28.06.1976)/45</t>
  </si>
  <si>
    <t>205,0</t>
  </si>
  <si>
    <t>2. Khodakovskiy Vyacheslav</t>
  </si>
  <si>
    <t>Open (08.09.1986)/35</t>
  </si>
  <si>
    <t>123,30</t>
  </si>
  <si>
    <t>-. Usoltsev Evgeniy</t>
  </si>
  <si>
    <t>Open (01.02.1970)/51</t>
  </si>
  <si>
    <t>122,60</t>
  </si>
  <si>
    <t>1. Seleznev Vladimir</t>
  </si>
  <si>
    <t>Masters 40-44 (09.05.1977)/44</t>
  </si>
  <si>
    <t>121,50</t>
  </si>
  <si>
    <t>Dinamo</t>
  </si>
  <si>
    <t>RUS/Odintsovo</t>
  </si>
  <si>
    <t>2. Gorodnichev Pavel</t>
  </si>
  <si>
    <t>Masters 45-49 (19.07.1972)/49</t>
  </si>
  <si>
    <t>125,00</t>
  </si>
  <si>
    <t>Masters 50-54 (01.02.1970)/51</t>
  </si>
  <si>
    <t>1. Chubarov Vladimir</t>
  </si>
  <si>
    <t>Masters 55-59 (03.04.1964)/57</t>
  </si>
  <si>
    <t>132,90</t>
  </si>
  <si>
    <t>177,5</t>
  </si>
  <si>
    <t>Kandaurova Vasilisa</t>
  </si>
  <si>
    <t>47,5300</t>
  </si>
  <si>
    <t>91,0687</t>
  </si>
  <si>
    <t>Medvedeva Marina</t>
  </si>
  <si>
    <t>63,3764</t>
  </si>
  <si>
    <t>Kardakova Nalatya</t>
  </si>
  <si>
    <t>58,3440</t>
  </si>
  <si>
    <t>Finkelbaum Mark</t>
  </si>
  <si>
    <t>36,8268</t>
  </si>
  <si>
    <t>Borisov Dmitriy</t>
  </si>
  <si>
    <t>117,8570</t>
  </si>
  <si>
    <t>Mischenko Artem</t>
  </si>
  <si>
    <t>118,6042</t>
  </si>
  <si>
    <t>108,1990</t>
  </si>
  <si>
    <t>Bulgak Viorel</t>
  </si>
  <si>
    <t>106,4328</t>
  </si>
  <si>
    <t>99,1845</t>
  </si>
  <si>
    <t>Nikonov Denis</t>
  </si>
  <si>
    <t>94,2322</t>
  </si>
  <si>
    <t>Samorokov Anton</t>
  </si>
  <si>
    <t>91,7290</t>
  </si>
  <si>
    <t>Savin Artem</t>
  </si>
  <si>
    <t>90,8860</t>
  </si>
  <si>
    <t>Morozov Aleksey</t>
  </si>
  <si>
    <t>90,8500</t>
  </si>
  <si>
    <t>Svirskiy Aleksandr</t>
  </si>
  <si>
    <t>86,3850</t>
  </si>
  <si>
    <t>Samara Stanislav</t>
  </si>
  <si>
    <t>85,8600</t>
  </si>
  <si>
    <t>Chekrenev Valentin</t>
  </si>
  <si>
    <t>84,6375</t>
  </si>
  <si>
    <t>Grabenko Artem</t>
  </si>
  <si>
    <t>80,9900</t>
  </si>
  <si>
    <t>Khodakovskiy Vyacheslav</t>
  </si>
  <si>
    <t>79,8185</t>
  </si>
  <si>
    <t>Sulakadze Vladimir</t>
  </si>
  <si>
    <t>78,6578</t>
  </si>
  <si>
    <t>Glushkov Mikhail</t>
  </si>
  <si>
    <t>78,2412</t>
  </si>
  <si>
    <t>Abdulkareem Al-Isawi</t>
  </si>
  <si>
    <t>69,8875</t>
  </si>
  <si>
    <t>Khlyustov Victor</t>
  </si>
  <si>
    <t>64,4290</t>
  </si>
  <si>
    <t>Travilin Ruslan</t>
  </si>
  <si>
    <t>59,1280</t>
  </si>
  <si>
    <t>Dodonov Sergey</t>
  </si>
  <si>
    <t>78,4135</t>
  </si>
  <si>
    <t>Chubarov Vladimir</t>
  </si>
  <si>
    <t>134,3711</t>
  </si>
  <si>
    <t>Zinkevich Pavel</t>
  </si>
  <si>
    <t>122,9880</t>
  </si>
  <si>
    <t>Litovtsev Vasiliy</t>
  </si>
  <si>
    <t>Masters 50-54</t>
  </si>
  <si>
    <t>117,9048</t>
  </si>
  <si>
    <t>113,3926</t>
  </si>
  <si>
    <t>Bichkov Igor</t>
  </si>
  <si>
    <t>104,0641</t>
  </si>
  <si>
    <t>Seleznev Vladimir</t>
  </si>
  <si>
    <t>97,5223</t>
  </si>
  <si>
    <t>Kolchev Sergey</t>
  </si>
  <si>
    <t>91,3271</t>
  </si>
  <si>
    <t>Gorodnichev Pavel</t>
  </si>
  <si>
    <t>81,9533</t>
  </si>
  <si>
    <t>Dudchik Mikhail</t>
  </si>
  <si>
    <t>60,0946</t>
  </si>
  <si>
    <t>WORLD POWERLIFTING CUP WPA/AWPA
AWPA raw deadlift
Russian Federation/Moscow 20-21 november 2021</t>
  </si>
  <si>
    <t>1. Yakunova Vasilisa</t>
  </si>
  <si>
    <t>Teen 13-15 (21.03.2007)/14</t>
  </si>
  <si>
    <t>51,70</t>
  </si>
  <si>
    <t>1. Vyshinskaya Elena</t>
  </si>
  <si>
    <t>Open (23.06.1983)/38</t>
  </si>
  <si>
    <t>66,40</t>
  </si>
  <si>
    <t>1. Andreev Aleksandr</t>
  </si>
  <si>
    <t>Teen 16-17 (24.12.2003)/17</t>
  </si>
  <si>
    <t>56,00</t>
  </si>
  <si>
    <t>187,5</t>
  </si>
  <si>
    <t>Seferov R.A.</t>
  </si>
  <si>
    <t>1. Lazukov Dmitriy</t>
  </si>
  <si>
    <t>Open (22.10.1983)/38</t>
  </si>
  <si>
    <t>1. Kulkov Andrey</t>
  </si>
  <si>
    <t>Open (30.04.1983)/38</t>
  </si>
  <si>
    <t>73,30</t>
  </si>
  <si>
    <t>RUS/Bryansk</t>
  </si>
  <si>
    <t>Napriyenko A.N.</t>
  </si>
  <si>
    <t>1. Markov Aleksandr</t>
  </si>
  <si>
    <t>Open (04.03.1990)/31</t>
  </si>
  <si>
    <t>81,40</t>
  </si>
  <si>
    <t>Malyutin Semen</t>
  </si>
  <si>
    <t>1. Bondarev Dmitriy</t>
  </si>
  <si>
    <t>Juniors 20-23 (10.02.2000)/21</t>
  </si>
  <si>
    <t>RUS/Balashikha</t>
  </si>
  <si>
    <t>185,0</t>
  </si>
  <si>
    <t>1. Yakubov Erik</t>
  </si>
  <si>
    <t>Open (17.08.1992)/29</t>
  </si>
  <si>
    <t>88,80</t>
  </si>
  <si>
    <t>245,0</t>
  </si>
  <si>
    <t>1. Abdulkareem Al-Isawi</t>
  </si>
  <si>
    <t>242,5</t>
  </si>
  <si>
    <t>106,9425</t>
  </si>
  <si>
    <t>Yakunova Vasilisa</t>
  </si>
  <si>
    <t>68,1170</t>
  </si>
  <si>
    <t>103,4550</t>
  </si>
  <si>
    <t>Vyshinskaya Elena</t>
  </si>
  <si>
    <t>80,9545</t>
  </si>
  <si>
    <t>Andreev Aleksandr</t>
  </si>
  <si>
    <t>Teen 16-17</t>
  </si>
  <si>
    <t>157,4640</t>
  </si>
  <si>
    <t>Bondarev Dmitriy</t>
  </si>
  <si>
    <t>109,4830</t>
  </si>
  <si>
    <t>Yakubov Erik</t>
  </si>
  <si>
    <t>141,6240</t>
  </si>
  <si>
    <t>Kulkov Andrey</t>
  </si>
  <si>
    <t>135,3400</t>
  </si>
  <si>
    <t>Lazukov Dmitriy</t>
  </si>
  <si>
    <t>123,5560</t>
  </si>
  <si>
    <t>123,0020</t>
  </si>
  <si>
    <t>113,0580</t>
  </si>
  <si>
    <t>Markov Aleksandr</t>
  </si>
  <si>
    <t>101,5788</t>
  </si>
  <si>
    <t>WORLD POWERLIFTING CUP WPA/AWPA
WPA raw powerlifting
Russian Federation/Moscow 20-21 november 2021</t>
  </si>
  <si>
    <t>1. Konkov Andrey</t>
  </si>
  <si>
    <t>Masters 40-44 (26.07.1980)/41</t>
  </si>
  <si>
    <t>99,20</t>
  </si>
  <si>
    <t>RUS/Ramenskoye</t>
  </si>
  <si>
    <t>182,5</t>
  </si>
  <si>
    <t>1. Maliev Dmitriy</t>
  </si>
  <si>
    <t>Open (07.04.1997)/24</t>
  </si>
  <si>
    <t>107,90</t>
  </si>
  <si>
    <t>Maliev Dmitriy</t>
  </si>
  <si>
    <t>682,5</t>
  </si>
  <si>
    <t>368,0040</t>
  </si>
  <si>
    <t>552,5</t>
  </si>
  <si>
    <t>570,8485</t>
  </si>
  <si>
    <t>Konkov Andrey</t>
  </si>
  <si>
    <t>702,5</t>
  </si>
  <si>
    <t>391,7618</t>
  </si>
  <si>
    <t>WORLD POWERLIFTING CUP WPA/AWPA
WPA multi ply benchpress
Russian Federation/Moscow 20-21 november 2021</t>
  </si>
  <si>
    <t>1. Mirzayev Ilham</t>
  </si>
  <si>
    <t>Masters 50-54 (24.09.1970)/51</t>
  </si>
  <si>
    <t>AZE/Azerbaydzhan</t>
  </si>
  <si>
    <t>Mirzayev Ilham</t>
  </si>
  <si>
    <t>87,5928</t>
  </si>
  <si>
    <t>WORLD POWERLIFTING CUP WPA/AWPA
WPA standart ply benchpress
Russian Federation/Moscow 20-21 november 2021</t>
  </si>
  <si>
    <t>1. Nazgaidze Victor</t>
  </si>
  <si>
    <t>Open (19.09.1981)/40</t>
  </si>
  <si>
    <t>Nazgaidze Victor</t>
  </si>
  <si>
    <t>98,9100</t>
  </si>
  <si>
    <t>WORLD POWERLIFTING CUP WPA/AWPA
WPA raw benchpress
Russian Federation/Moscow 20-21 november 2021</t>
  </si>
  <si>
    <t>1. Kazarina Anna</t>
  </si>
  <si>
    <t>Open (27.01.1985)/36</t>
  </si>
  <si>
    <t>2. Dombrovskaya Inna</t>
  </si>
  <si>
    <t>Open (10.03.1983)/38</t>
  </si>
  <si>
    <t>63,70</t>
  </si>
  <si>
    <t>RUS/Saratov</t>
  </si>
  <si>
    <t>1. Vasilev Roman</t>
  </si>
  <si>
    <t>Open (10.02.1973)/48</t>
  </si>
  <si>
    <t>RUS/Petrozavodsk</t>
  </si>
  <si>
    <t>1. Artyakov Mikhail</t>
  </si>
  <si>
    <t>Open (30.03.1989)/32</t>
  </si>
  <si>
    <t>95,60</t>
  </si>
  <si>
    <t>Kazarina Anna</t>
  </si>
  <si>
    <t>82,3935</t>
  </si>
  <si>
    <t>Dombrovskaya Inna</t>
  </si>
  <si>
    <t>65,4480</t>
  </si>
  <si>
    <t>Vasilev Roman</t>
  </si>
  <si>
    <t>107,5680</t>
  </si>
  <si>
    <t>Artyakov Mikhail</t>
  </si>
  <si>
    <t>107,5400</t>
  </si>
  <si>
    <t>WORLD POWERLIFTING CUP WPA/AWPA
WPA raw deadlift
Russian Federation/Moscow 20-21 november 2021</t>
  </si>
  <si>
    <t>1. Misiyuk Vyacheslav</t>
  </si>
  <si>
    <t>Open (11.11.1984)/37</t>
  </si>
  <si>
    <t>RUS/Dorogobuzh</t>
  </si>
  <si>
    <t>252,5</t>
  </si>
  <si>
    <t>1. Karpov Evgeniy</t>
  </si>
  <si>
    <t>Masters 65-69 (18.07.1956)/65</t>
  </si>
  <si>
    <t>RUS/Dzerzhinsk</t>
  </si>
  <si>
    <t>1. Zhdanov Evgeniy</t>
  </si>
  <si>
    <t>Open (11.10.1991)/30</t>
  </si>
  <si>
    <t>RUS/Shchelkovo</t>
  </si>
  <si>
    <t>2. Esaulov Vladimir</t>
  </si>
  <si>
    <t>Masters 60-64 (22.07.1960)/61</t>
  </si>
  <si>
    <t>91,00</t>
  </si>
  <si>
    <t>1. Battakhov Petr</t>
  </si>
  <si>
    <t>Masters 65-69 (21.04.1952)/69</t>
  </si>
  <si>
    <t>RUS/Yakutsk</t>
  </si>
  <si>
    <t>1. Nefedov Sergey</t>
  </si>
  <si>
    <t>Masters 40-44 (14.06.1980)/41</t>
  </si>
  <si>
    <t>100,90</t>
  </si>
  <si>
    <t>1. Vitkevich Nikolay</t>
  </si>
  <si>
    <t>Open (27.09.1965)/56</t>
  </si>
  <si>
    <t>120,80</t>
  </si>
  <si>
    <t>Masters 55-59 (27.09.1965)/56</t>
  </si>
  <si>
    <t>1. Lukyanov Sergey</t>
  </si>
  <si>
    <t>Masters 65-69 (25.10.1955)/66</t>
  </si>
  <si>
    <t>122,20</t>
  </si>
  <si>
    <t>Misiyuk Vyacheslav</t>
  </si>
  <si>
    <t>153,8680</t>
  </si>
  <si>
    <t>Zhdanov Evgeniy</t>
  </si>
  <si>
    <t>135,8400</t>
  </si>
  <si>
    <t>Vitkevich Nikolay</t>
  </si>
  <si>
    <t>131,5500</t>
  </si>
  <si>
    <t>232,4723</t>
  </si>
  <si>
    <t>Battakhov Petr</t>
  </si>
  <si>
    <t>Masters 65-69</t>
  </si>
  <si>
    <t>216,7398</t>
  </si>
  <si>
    <t>Lukyanov Sergey</t>
  </si>
  <si>
    <t>206,7318</t>
  </si>
  <si>
    <t>Esaulov Vladimir</t>
  </si>
  <si>
    <t>197,7100</t>
  </si>
  <si>
    <t>188,1165</t>
  </si>
  <si>
    <t>Karpov Evgeniy</t>
  </si>
  <si>
    <t>175,7328</t>
  </si>
  <si>
    <t>Nefedov Sergey</t>
  </si>
  <si>
    <t>127,3178</t>
  </si>
  <si>
    <t>WORLD ARMLIFTING CHAMPIONSHIP WAA
«Excalibur»
Russian Federation/Moscow 20-21 november 2021</t>
  </si>
  <si>
    <t>Armlift</t>
  </si>
  <si>
    <t>Body Weight Category  70</t>
  </si>
  <si>
    <t>1. Potseluev Nikita</t>
  </si>
  <si>
    <t>Open (29.09.1996)/25</t>
  </si>
  <si>
    <t>66,00</t>
  </si>
  <si>
    <t>85,0</t>
  </si>
  <si>
    <t>Body Weight Category  80</t>
  </si>
  <si>
    <t>1. Umerenkov Daniil</t>
  </si>
  <si>
    <t>Junior (01.03.2004)/17</t>
  </si>
  <si>
    <t>75,10</t>
  </si>
  <si>
    <t>RUS/Kursk</t>
  </si>
  <si>
    <t>Open (01.03.2004)/17</t>
  </si>
  <si>
    <t>1. Gaevskiy Vladimir</t>
  </si>
  <si>
    <t>Masters 65-69 (11.06.1955)/66</t>
  </si>
  <si>
    <t>82,70</t>
  </si>
  <si>
    <t>Antares</t>
  </si>
  <si>
    <t>RUS/Omsk</t>
  </si>
  <si>
    <t>1. Ivanov Semyon</t>
  </si>
  <si>
    <t>Junior (01.09.2000)/21</t>
  </si>
  <si>
    <t>94,70</t>
  </si>
  <si>
    <t>RUS/Tolyatti</t>
  </si>
  <si>
    <t>1. Krivykh Ivan</t>
  </si>
  <si>
    <t>Open (15.06.1990)/31</t>
  </si>
  <si>
    <t>94,30</t>
  </si>
  <si>
    <t>Junior</t>
  </si>
  <si>
    <t>Umerenkov Daniil</t>
  </si>
  <si>
    <t>80</t>
  </si>
  <si>
    <t>58,4672</t>
  </si>
  <si>
    <t>Ivanov Semyon</t>
  </si>
  <si>
    <t>53,6265</t>
  </si>
  <si>
    <t>Krivykh Ivan</t>
  </si>
  <si>
    <t>83,5940</t>
  </si>
  <si>
    <t>Potseluev Nikita</t>
  </si>
  <si>
    <t>70</t>
  </si>
  <si>
    <t>61,0400</t>
  </si>
  <si>
    <t>Gaevskiy Vladimir</t>
  </si>
  <si>
    <t>72,9360</t>
  </si>
  <si>
    <t>66,3208</t>
  </si>
  <si>
    <t>WORLD ARMLIFTING CHAMPIONSHIP WAA
«Russian brick»
Russian Federation/Moscow 20-21 november 2021</t>
  </si>
  <si>
    <t>1. Maksimov Dmitriy</t>
  </si>
  <si>
    <t>Open (29.10.1992)/29</t>
  </si>
  <si>
    <t>80,00</t>
  </si>
  <si>
    <t>RUS/Ivanovo</t>
  </si>
  <si>
    <t>54,0</t>
  </si>
  <si>
    <t>1. Lebedev Aleksandr</t>
  </si>
  <si>
    <t>Masters 45-49 (20.12.1972)/48</t>
  </si>
  <si>
    <t>84,10</t>
  </si>
  <si>
    <t>59,0</t>
  </si>
  <si>
    <t>64,0</t>
  </si>
  <si>
    <t>69,0</t>
  </si>
  <si>
    <t>49,0</t>
  </si>
  <si>
    <t>74,0</t>
  </si>
  <si>
    <t>84,0</t>
  </si>
  <si>
    <t>89,0</t>
  </si>
  <si>
    <t>94,0</t>
  </si>
  <si>
    <t>1. Borisov Igor</t>
  </si>
  <si>
    <t>Masters 55-59 (10.04.1963)/58</t>
  </si>
  <si>
    <t>109,50</t>
  </si>
  <si>
    <t>41,1136</t>
  </si>
  <si>
    <t>56,1274</t>
  </si>
  <si>
    <t>Maksimov Dmitriy</t>
  </si>
  <si>
    <t>28,9432</t>
  </si>
  <si>
    <t>Borisov Igor</t>
  </si>
  <si>
    <t>50,1693</t>
  </si>
  <si>
    <t>Lebedev Aleksandr</t>
  </si>
  <si>
    <t>71,5</t>
  </si>
  <si>
    <t>49,9477</t>
  </si>
  <si>
    <t>48,9116</t>
  </si>
  <si>
    <t>47,6515</t>
  </si>
  <si>
    <t>WORLD ARMLIFTING CHAMPIONSHIP WAA
«Russian HUB»
Russian Federation/Moscow 20-21 november 2021</t>
  </si>
  <si>
    <t>22,5</t>
  </si>
  <si>
    <t>1. Boyarov Aleksandr</t>
  </si>
  <si>
    <t>Open (21.07.1986)/35</t>
  </si>
  <si>
    <t>104,50</t>
  </si>
  <si>
    <t>27,5</t>
  </si>
  <si>
    <t>Boyarov Aleksandr</t>
  </si>
  <si>
    <t>18,5770</t>
  </si>
  <si>
    <t>17,1675</t>
  </si>
  <si>
    <t>WORLD ARMLIFTING CHAMPIONSHIP WAA
«Russian Axle»
Russian Federation/Moscow 20-21 november 2021</t>
  </si>
  <si>
    <t>Body Weight Category  60</t>
  </si>
  <si>
    <t>1. Enina Elena</t>
  </si>
  <si>
    <t>Open (10.05.1989)/32</t>
  </si>
  <si>
    <t>55,00</t>
  </si>
  <si>
    <t>1. Nesmeyanov Aleksandr</t>
  </si>
  <si>
    <t>Open (05.06.1993)/28</t>
  </si>
  <si>
    <t>Petrov Danil</t>
  </si>
  <si>
    <t>1. Lysenko Oleg</t>
  </si>
  <si>
    <t>Open (02.09.1988)/33</t>
  </si>
  <si>
    <t>108,40</t>
  </si>
  <si>
    <t>1. Petrov Danil</t>
  </si>
  <si>
    <t>Open (19.12.1980)/40</t>
  </si>
  <si>
    <t>117,30</t>
  </si>
  <si>
    <t>Enina Elena</t>
  </si>
  <si>
    <t>60</t>
  </si>
  <si>
    <t>84,7280</t>
  </si>
  <si>
    <t>Lysenko Oleg</t>
  </si>
  <si>
    <t>98,8487</t>
  </si>
  <si>
    <t>95,5219</t>
  </si>
  <si>
    <t>Nesmeyanov Aleksandr</t>
  </si>
  <si>
    <t>92,4075</t>
  </si>
  <si>
    <t>121,5599</t>
  </si>
  <si>
    <t>117,5904</t>
  </si>
  <si>
    <t>WORLD ARMLIFTING CHAMPIONSHIP WAA
«Russian Roullette»
Russian Federation/Moscow 20-21 november 2021</t>
  </si>
  <si>
    <t>1. Godyaev Andrey</t>
  </si>
  <si>
    <t>Open (16.11.1989)/32</t>
  </si>
  <si>
    <t>79,20</t>
  </si>
  <si>
    <t>65,5</t>
  </si>
  <si>
    <t>75,5</t>
  </si>
  <si>
    <t>50,5</t>
  </si>
  <si>
    <t>55,5</t>
  </si>
  <si>
    <t>60,5</t>
  </si>
  <si>
    <t>80,5</t>
  </si>
  <si>
    <t>93,0</t>
  </si>
  <si>
    <t>98,0</t>
  </si>
  <si>
    <t>100,5</t>
  </si>
  <si>
    <t>1. Romanov Valeriy</t>
  </si>
  <si>
    <t>Masters 60-64 (15.02.1960)/61</t>
  </si>
  <si>
    <t>98,10</t>
  </si>
  <si>
    <t>Open (10.04.1963)/58</t>
  </si>
  <si>
    <t>68,0</t>
  </si>
  <si>
    <t>73,0</t>
  </si>
  <si>
    <t>78,0</t>
  </si>
  <si>
    <t>83,0</t>
  </si>
  <si>
    <t>85,5</t>
  </si>
  <si>
    <t>88,0</t>
  </si>
  <si>
    <t>2. Vitkevich Nikolay</t>
  </si>
  <si>
    <t>53,0</t>
  </si>
  <si>
    <t>58,0</t>
  </si>
  <si>
    <t>63,0</t>
  </si>
  <si>
    <t>44,9867</t>
  </si>
  <si>
    <t>58,5158</t>
  </si>
  <si>
    <t>47,3456</t>
  </si>
  <si>
    <t>Godyaev Andrey</t>
  </si>
  <si>
    <t>46,6957</t>
  </si>
  <si>
    <t>45,3376</t>
  </si>
  <si>
    <t>43,4315</t>
  </si>
  <si>
    <t>37,4068</t>
  </si>
  <si>
    <t>58,8350</t>
  </si>
  <si>
    <t>58,5308</t>
  </si>
  <si>
    <t>54,3002</t>
  </si>
  <si>
    <t>Romanov Valeriy</t>
  </si>
  <si>
    <t>52,4446</t>
  </si>
  <si>
    <t>46,6089</t>
  </si>
</sst>
</file>

<file path=xl/styles.xml><?xml version="1.0" encoding="utf-8"?>
<styleSheet xmlns="http://schemas.openxmlformats.org/spreadsheetml/2006/main">
  <numFmts count="4">
    <numFmt numFmtId="43" formatCode="_-* #,##0.00_-;\-* #,##0.00_-;_-* &quot;-&quot;??_-;_-@_-"/>
    <numFmt numFmtId="176" formatCode="_-* #,##0\ &quot;₽&quot;_-;\-* #,##0\ &quot;₽&quot;_-;_-* \-\ &quot;₽&quot;_-;_-@_-"/>
    <numFmt numFmtId="41" formatCode="_-* #,##0_-;\-* #,##0_-;_-* &quot;-&quot;_-;_-@_-"/>
    <numFmt numFmtId="177" formatCode="_-* #,##0.00\ &quot;₽&quot;_-;\-* #,##0.00\ &quot;₽&quot;_-;_-* \-??\ &quot;₽&quot;_-;_-@_-"/>
  </numFmts>
  <fonts count="29">
    <font>
      <sz val="10"/>
      <name val="Arial Cyr"/>
      <charset val="204"/>
    </font>
    <font>
      <b/>
      <sz val="10"/>
      <name val="Arial Cyr"/>
      <charset val="204"/>
    </font>
    <font>
      <b/>
      <sz val="11"/>
      <name val="Arial Cyr"/>
      <charset val="204"/>
    </font>
    <font>
      <b/>
      <sz val="24"/>
      <name val="Arial Cyr"/>
      <charset val="204"/>
    </font>
    <font>
      <i/>
      <sz val="12"/>
      <name val="Arial Cyr"/>
      <charset val="204"/>
    </font>
    <font>
      <sz val="12"/>
      <name val="Arial Cyr"/>
      <charset val="204"/>
    </font>
    <font>
      <sz val="14"/>
      <name val="Arial Cyr"/>
      <charset val="204"/>
    </font>
    <font>
      <i/>
      <sz val="11"/>
      <name val="Arial Cyr"/>
      <charset val="204"/>
    </font>
    <font>
      <strike/>
      <sz val="10"/>
      <name val="Arial Cyr"/>
      <charset val="204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sz val="11"/>
      <color theme="1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sz val="11"/>
      <color rgb="FF006100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9C0006"/>
      <name val="Calibri"/>
      <charset val="0"/>
      <scheme val="minor"/>
    </font>
    <font>
      <b/>
      <sz val="11"/>
      <color theme="3"/>
      <name val="Calibri"/>
      <charset val="134"/>
      <scheme val="minor"/>
    </font>
    <font>
      <b/>
      <sz val="11"/>
      <color rgb="FF3F3F3F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sz val="11"/>
      <color rgb="FFFA7D00"/>
      <name val="Calibri"/>
      <charset val="0"/>
      <scheme val="minor"/>
    </font>
    <font>
      <sz val="11"/>
      <color rgb="FF9C6500"/>
      <name val="Calibri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</fills>
  <borders count="22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0" fontId="10" fillId="8" borderId="0" applyNumberFormat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177" fontId="11" fillId="0" borderId="0" applyFont="0" applyFill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5" fillId="0" borderId="14" applyNumberFormat="0" applyFill="0" applyAlignment="0" applyProtection="0">
      <alignment vertical="center"/>
    </xf>
    <xf numFmtId="0" fontId="18" fillId="18" borderId="15" applyNumberForma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22" borderId="16" applyNumberFormat="0" applyFon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3" fillId="0" borderId="17" applyNumberFormat="0" applyFill="0" applyAlignment="0" applyProtection="0">
      <alignment vertical="center"/>
    </xf>
    <xf numFmtId="0" fontId="17" fillId="0" borderId="18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4" fillId="24" borderId="19" applyNumberFormat="0" applyAlignment="0" applyProtection="0">
      <alignment vertical="center"/>
    </xf>
    <xf numFmtId="0" fontId="25" fillId="25" borderId="20" applyNumberFormat="0" applyAlignment="0" applyProtection="0">
      <alignment vertical="center"/>
    </xf>
    <xf numFmtId="0" fontId="26" fillId="18" borderId="19" applyNumberFormat="0" applyAlignment="0" applyProtection="0">
      <alignment vertical="center"/>
    </xf>
    <xf numFmtId="0" fontId="27" fillId="0" borderId="21" applyNumberFormat="0" applyFill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</cellStyleXfs>
  <cellXfs count="53">
    <xf numFmtId="0" fontId="0" fillId="0" borderId="0" xfId="0"/>
    <xf numFmtId="0" fontId="1" fillId="0" borderId="0" xfId="0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vertical="center"/>
    </xf>
    <xf numFmtId="49" fontId="3" fillId="0" borderId="4" xfId="0" applyNumberFormat="1" applyFont="1" applyFill="1" applyBorder="1" applyAlignment="1">
      <alignment horizontal="center" vertical="center"/>
    </xf>
    <xf numFmtId="49" fontId="2" fillId="0" borderId="5" xfId="0" applyNumberFormat="1" applyFont="1" applyFill="1" applyBorder="1" applyAlignment="1">
      <alignment horizontal="center" vertical="center"/>
    </xf>
    <xf numFmtId="49" fontId="2" fillId="0" borderId="6" xfId="0" applyNumberFormat="1" applyFont="1" applyFill="1" applyBorder="1" applyAlignment="1">
      <alignment horizontal="center" vertical="center" wrapText="1"/>
    </xf>
    <xf numFmtId="49" fontId="2" fillId="0" borderId="6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49" fontId="2" fillId="0" borderId="4" xfId="0" applyNumberFormat="1" applyFont="1" applyFill="1" applyBorder="1" applyAlignment="1">
      <alignment horizontal="center" vertical="center"/>
    </xf>
    <xf numFmtId="49" fontId="4" fillId="0" borderId="7" xfId="0" applyNumberFormat="1" applyFont="1" applyFill="1" applyBorder="1" applyAlignment="1">
      <alignment horizontal="center"/>
    </xf>
    <xf numFmtId="49" fontId="4" fillId="0" borderId="7" xfId="0" applyNumberFormat="1" applyFont="1" applyBorder="1" applyAlignment="1">
      <alignment horizontal="center"/>
    </xf>
    <xf numFmtId="49" fontId="0" fillId="0" borderId="8" xfId="0" applyNumberFormat="1" applyFont="1" applyFill="1" applyBorder="1" applyAlignment="1">
      <alignment horizontal="left"/>
    </xf>
    <xf numFmtId="49" fontId="0" fillId="0" borderId="8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49" fontId="4" fillId="0" borderId="0" xfId="0" applyNumberFormat="1" applyFont="1" applyAlignment="1">
      <alignment horizontal="center"/>
    </xf>
    <xf numFmtId="49" fontId="0" fillId="0" borderId="9" xfId="0" applyNumberFormat="1" applyFont="1" applyFill="1" applyBorder="1" applyAlignment="1">
      <alignment horizontal="left"/>
    </xf>
    <xf numFmtId="49" fontId="0" fillId="0" borderId="9" xfId="0" applyNumberFormat="1" applyFont="1" applyFill="1" applyBorder="1" applyAlignment="1">
      <alignment horizontal="center"/>
    </xf>
    <xf numFmtId="49" fontId="0" fillId="0" borderId="6" xfId="0" applyNumberFormat="1" applyFont="1" applyFill="1" applyBorder="1" applyAlignment="1">
      <alignment horizontal="left"/>
    </xf>
    <xf numFmtId="49" fontId="0" fillId="0" borderId="6" xfId="0" applyNumberFormat="1" applyFont="1" applyFill="1" applyBorder="1" applyAlignment="1">
      <alignment horizontal="center"/>
    </xf>
    <xf numFmtId="49" fontId="0" fillId="0" borderId="10" xfId="0" applyNumberFormat="1" applyFont="1" applyFill="1" applyBorder="1" applyAlignment="1">
      <alignment horizontal="left"/>
    </xf>
    <xf numFmtId="49" fontId="0" fillId="0" borderId="10" xfId="0" applyNumberFormat="1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left"/>
    </xf>
    <xf numFmtId="49" fontId="6" fillId="0" borderId="0" xfId="0" applyNumberFormat="1" applyFont="1" applyFill="1" applyBorder="1" applyAlignment="1">
      <alignment horizontal="left"/>
    </xf>
    <xf numFmtId="49" fontId="6" fillId="0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left"/>
    </xf>
    <xf numFmtId="49" fontId="7" fillId="0" borderId="0" xfId="0" applyNumberFormat="1" applyFont="1" applyFill="1" applyBorder="1" applyAlignment="1">
      <alignment horizontal="left" indent="1"/>
    </xf>
    <xf numFmtId="49" fontId="7" fillId="0" borderId="0" xfId="0" applyNumberFormat="1" applyFont="1" applyFill="1" applyBorder="1" applyAlignment="1">
      <alignment horizontal="center"/>
    </xf>
    <xf numFmtId="49" fontId="2" fillId="0" borderId="8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left" indent="1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49" fontId="2" fillId="0" borderId="13" xfId="0" applyNumberFormat="1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/>
    </xf>
    <xf numFmtId="49" fontId="8" fillId="0" borderId="8" xfId="0" applyNumberFormat="1" applyFont="1" applyFill="1" applyBorder="1" applyAlignment="1">
      <alignment horizontal="center"/>
    </xf>
    <xf numFmtId="49" fontId="1" fillId="0" borderId="8" xfId="0" applyNumberFormat="1" applyFont="1" applyFill="1" applyBorder="1" applyAlignment="1">
      <alignment horizontal="left"/>
    </xf>
    <xf numFmtId="49" fontId="1" fillId="0" borderId="8" xfId="0" applyNumberFormat="1" applyFont="1" applyFill="1" applyBorder="1" applyAlignment="1">
      <alignment horizontal="center"/>
    </xf>
    <xf numFmtId="49" fontId="1" fillId="0" borderId="9" xfId="0" applyNumberFormat="1" applyFont="1" applyFill="1" applyBorder="1" applyAlignment="1">
      <alignment horizontal="left"/>
    </xf>
    <xf numFmtId="49" fontId="1" fillId="0" borderId="9" xfId="0" applyNumberFormat="1" applyFont="1" applyFill="1" applyBorder="1" applyAlignment="1">
      <alignment horizontal="center"/>
    </xf>
    <xf numFmtId="49" fontId="8" fillId="0" borderId="6" xfId="0" applyNumberFormat="1" applyFont="1" applyFill="1" applyBorder="1" applyAlignment="1">
      <alignment horizontal="center"/>
    </xf>
    <xf numFmtId="49" fontId="1" fillId="0" borderId="6" xfId="0" applyNumberFormat="1" applyFont="1" applyFill="1" applyBorder="1" applyAlignment="1">
      <alignment horizontal="left"/>
    </xf>
    <xf numFmtId="49" fontId="1" fillId="0" borderId="6" xfId="0" applyNumberFormat="1" applyFont="1" applyFill="1" applyBorder="1" applyAlignment="1">
      <alignment horizontal="center"/>
    </xf>
    <xf numFmtId="49" fontId="8" fillId="0" borderId="9" xfId="0" applyNumberFormat="1" applyFont="1" applyFill="1" applyBorder="1" applyAlignment="1">
      <alignment horizontal="center"/>
    </xf>
    <xf numFmtId="49" fontId="8" fillId="0" borderId="10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left"/>
    </xf>
    <xf numFmtId="49" fontId="1" fillId="0" borderId="10" xfId="0" applyNumberFormat="1" applyFont="1" applyFill="1" applyBorder="1" applyAlignment="1">
      <alignment horizontal="center"/>
    </xf>
  </cellXfs>
  <cellStyles count="49">
    <cellStyle name="Обычный" xfId="0" builtinId="0"/>
    <cellStyle name="20% — Акцент3" xfId="1" builtinId="38"/>
    <cellStyle name="Денежный [0]" xfId="2" builtinId="7"/>
    <cellStyle name="40% — Акцент5" xfId="3" builtinId="47"/>
    <cellStyle name="Хороший" xfId="4" builtinId="26"/>
    <cellStyle name="Запятая [0]" xfId="5" builtinId="6"/>
    <cellStyle name="Денежный" xfId="6" builtinId="4"/>
    <cellStyle name="Запятая" xfId="7" builtinId="3"/>
    <cellStyle name="40% — Акцент6" xfId="8" builtinId="51"/>
    <cellStyle name="Процент" xfId="9" builtinId="5"/>
    <cellStyle name="20% — Акцент2" xfId="10" builtinId="34"/>
    <cellStyle name="Итого" xfId="11" builtinId="25"/>
    <cellStyle name="Вывод" xfId="12" builtinId="21"/>
    <cellStyle name="Гиперссылка" xfId="13" builtinId="8"/>
    <cellStyle name="40% — Акцент4" xfId="14" builtinId="43"/>
    <cellStyle name="Открывавшаяся гиперссылка" xfId="15" builtinId="9"/>
    <cellStyle name="Примечание" xfId="16" builtinId="10"/>
    <cellStyle name="Предупреждающий текст" xfId="17" builtinId="11"/>
    <cellStyle name="Заголовок" xfId="18" builtinId="15"/>
    <cellStyle name="Пояснительный текст" xfId="19" builtinId="53"/>
    <cellStyle name="Заголовок 1" xfId="20" builtinId="16"/>
    <cellStyle name="Заголовок 2" xfId="21" builtinId="17"/>
    <cellStyle name="Заголовок 3" xfId="22" builtinId="18"/>
    <cellStyle name="Заголовок 4" xfId="23" builtinId="19"/>
    <cellStyle name="Ввод" xfId="24" builtinId="20"/>
    <cellStyle name="Проверить ячейку" xfId="25" builtinId="23"/>
    <cellStyle name="Вычисление" xfId="26" builtinId="22"/>
    <cellStyle name="Связанная ячейка" xfId="27" builtinId="24"/>
    <cellStyle name="Плохой" xfId="28" builtinId="27"/>
    <cellStyle name="Акцент5" xfId="29" builtinId="45"/>
    <cellStyle name="Нейтральный" xfId="30" builtinId="28"/>
    <cellStyle name="Акцент1" xfId="31" builtinId="29"/>
    <cellStyle name="20% — Акцент1" xfId="32" builtinId="30"/>
    <cellStyle name="40% — Акцент1" xfId="33" builtinId="31"/>
    <cellStyle name="20% — Акцент5" xfId="34" builtinId="46"/>
    <cellStyle name="60% — Акцент1" xfId="35" builtinId="32"/>
    <cellStyle name="Акцент2" xfId="36" builtinId="33"/>
    <cellStyle name="40% — Акцент2" xfId="37" builtinId="35"/>
    <cellStyle name="20% — Акцент6" xfId="38" builtinId="50"/>
    <cellStyle name="60% — Акцент2" xfId="39" builtinId="36"/>
    <cellStyle name="Акцент3" xfId="40" builtinId="37"/>
    <cellStyle name="40% — Акцент3" xfId="41" builtinId="39"/>
    <cellStyle name="60% — Акцент3" xfId="42" builtinId="40"/>
    <cellStyle name="Акцент4" xfId="43" builtinId="41"/>
    <cellStyle name="20% — Акцент4" xfId="44" builtinId="42"/>
    <cellStyle name="60% — Акцент4" xfId="45" builtinId="44"/>
    <cellStyle name="60% — Акцент5" xfId="46" builtinId="48"/>
    <cellStyle name="Акцент6" xfId="47" builtinId="49"/>
    <cellStyle name="60% — Акцент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4" Type="http://schemas.openxmlformats.org/officeDocument/2006/relationships/sharedStrings" Target="sharedStrings.xml"/><Relationship Id="rId23" Type="http://schemas.openxmlformats.org/officeDocument/2006/relationships/styles" Target="styles.xml"/><Relationship Id="rId22" Type="http://schemas.openxmlformats.org/officeDocument/2006/relationships/theme" Target="theme/theme1.xml"/><Relationship Id="rId21" Type="http://schemas.openxmlformats.org/officeDocument/2006/relationships/worksheet" Target="worksheets/sheet2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0"/>
  <sheetViews>
    <sheetView workbookViewId="0">
      <selection activeCell="A1" sqref="A1:M2"/>
    </sheetView>
  </sheetViews>
  <sheetFormatPr defaultColWidth="9.11111111111111" defaultRowHeight="12.75"/>
  <cols>
    <col min="1" max="1" width="24.8888888888889" style="4" customWidth="1"/>
    <col min="2" max="2" width="19.1111111111111" style="3" customWidth="1"/>
    <col min="3" max="3" width="7.55555555555556" style="3" customWidth="1"/>
    <col min="4" max="4" width="6.55555555555556" style="3" customWidth="1"/>
    <col min="5" max="5" width="17" style="4" customWidth="1"/>
    <col min="6" max="6" width="14.7777777777778" style="4" customWidth="1"/>
    <col min="7" max="8" width="5.55555555555556" style="3" customWidth="1"/>
    <col min="9" max="9" width="2.11111111111111" style="3" customWidth="1"/>
    <col min="10" max="10" width="4.77777777777778" style="3" customWidth="1"/>
    <col min="11" max="11" width="5.77777777777778" style="5" customWidth="1"/>
    <col min="12" max="12" width="8.55555555555556" style="6" customWidth="1"/>
    <col min="13" max="13" width="7.11111111111111" style="4" customWidth="1"/>
    <col min="14" max="16384" width="9.11111111111111" style="7"/>
  </cols>
  <sheetData>
    <row r="1" s="1" customFormat="1" ht="28.95" customHeight="1" spans="1:13">
      <c r="A1" s="8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37"/>
    </row>
    <row r="2" s="1" customFormat="1" ht="61.95" customHeight="1" spans="1:13">
      <c r="A2" s="10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38"/>
    </row>
    <row r="3" s="2" customFormat="1" customHeight="1" spans="1:13">
      <c r="A3" s="12" t="s">
        <v>1</v>
      </c>
      <c r="B3" s="13" t="s">
        <v>2</v>
      </c>
      <c r="C3" s="13" t="s">
        <v>3</v>
      </c>
      <c r="D3" s="14" t="s">
        <v>4</v>
      </c>
      <c r="E3" s="14" t="s">
        <v>5</v>
      </c>
      <c r="F3" s="14" t="s">
        <v>6</v>
      </c>
      <c r="G3" s="14" t="s">
        <v>7</v>
      </c>
      <c r="H3" s="14"/>
      <c r="I3" s="14"/>
      <c r="J3" s="14"/>
      <c r="K3" s="14" t="s">
        <v>8</v>
      </c>
      <c r="L3" s="14" t="s">
        <v>9</v>
      </c>
      <c r="M3" s="39" t="s">
        <v>10</v>
      </c>
    </row>
    <row r="4" s="2" customFormat="1" ht="23.25" customHeight="1" spans="1:13">
      <c r="A4" s="15"/>
      <c r="B4" s="16"/>
      <c r="C4" s="16"/>
      <c r="D4" s="16"/>
      <c r="E4" s="16"/>
      <c r="F4" s="16"/>
      <c r="G4" s="16">
        <v>1</v>
      </c>
      <c r="H4" s="16">
        <v>2</v>
      </c>
      <c r="I4" s="16">
        <v>3</v>
      </c>
      <c r="J4" s="16" t="s">
        <v>11</v>
      </c>
      <c r="K4" s="16"/>
      <c r="L4" s="16"/>
      <c r="M4" s="40"/>
    </row>
    <row r="5" s="3" customFormat="1" ht="15.75" spans="1:13">
      <c r="A5" s="17" t="s">
        <v>12</v>
      </c>
      <c r="B5" s="18"/>
      <c r="C5" s="18"/>
      <c r="D5" s="18"/>
      <c r="E5" s="18"/>
      <c r="F5" s="18"/>
      <c r="G5" s="18"/>
      <c r="H5" s="18"/>
      <c r="I5" s="18"/>
      <c r="J5" s="18"/>
      <c r="K5" s="5"/>
      <c r="L5" s="6"/>
      <c r="M5" s="4"/>
    </row>
    <row r="6" s="3" customFormat="1" spans="1:13">
      <c r="A6" s="19" t="s">
        <v>13</v>
      </c>
      <c r="B6" s="20" t="s">
        <v>14</v>
      </c>
      <c r="C6" s="20" t="s">
        <v>15</v>
      </c>
      <c r="D6" s="20" t="str">
        <f>"0,5645"</f>
        <v>0,5645</v>
      </c>
      <c r="E6" s="19" t="s">
        <v>16</v>
      </c>
      <c r="F6" s="19" t="s">
        <v>17</v>
      </c>
      <c r="G6" s="20" t="s">
        <v>18</v>
      </c>
      <c r="H6" s="20" t="s">
        <v>19</v>
      </c>
      <c r="I6" s="41"/>
      <c r="J6" s="41"/>
      <c r="K6" s="42" t="str">
        <f>"407,5"</f>
        <v>407,5</v>
      </c>
      <c r="L6" s="43" t="str">
        <f>"230,0541"</f>
        <v>230,0541</v>
      </c>
      <c r="M6" s="19"/>
    </row>
    <row r="7" s="3" customFormat="1" spans="1:13">
      <c r="A7" s="4"/>
      <c r="E7" s="4"/>
      <c r="F7" s="4"/>
      <c r="K7" s="5"/>
      <c r="L7" s="6"/>
      <c r="M7" s="4"/>
    </row>
    <row r="8" ht="15.75" spans="5:5">
      <c r="E8" s="29" t="s">
        <v>20</v>
      </c>
    </row>
    <row r="9" ht="15.75" spans="5:5">
      <c r="E9" s="29" t="s">
        <v>21</v>
      </c>
    </row>
    <row r="10" ht="15.75" spans="5:5">
      <c r="E10" s="29" t="s">
        <v>22</v>
      </c>
    </row>
    <row r="11" spans="5:5">
      <c r="E11" s="4" t="s">
        <v>23</v>
      </c>
    </row>
    <row r="12" spans="5:5">
      <c r="E12" s="4" t="s">
        <v>24</v>
      </c>
    </row>
    <row r="13" spans="5:5">
      <c r="E13" s="4" t="s">
        <v>25</v>
      </c>
    </row>
    <row r="16" ht="18.75" spans="1:2">
      <c r="A16" s="30" t="s">
        <v>26</v>
      </c>
      <c r="B16" s="31"/>
    </row>
    <row r="17" ht="15.75" spans="1:2">
      <c r="A17" s="32" t="s">
        <v>27</v>
      </c>
      <c r="B17" s="21"/>
    </row>
    <row r="18" ht="15" spans="1:2">
      <c r="A18" s="33"/>
      <c r="B18" s="34" t="s">
        <v>28</v>
      </c>
    </row>
    <row r="19" ht="14.25" spans="1:5">
      <c r="A19" s="35" t="s">
        <v>1</v>
      </c>
      <c r="B19" s="35" t="s">
        <v>29</v>
      </c>
      <c r="C19" s="35" t="s">
        <v>30</v>
      </c>
      <c r="D19" s="35" t="s">
        <v>31</v>
      </c>
      <c r="E19" s="35" t="s">
        <v>4</v>
      </c>
    </row>
    <row r="20" spans="1:5">
      <c r="A20" s="36" t="s">
        <v>32</v>
      </c>
      <c r="B20" s="3" t="s">
        <v>28</v>
      </c>
      <c r="C20" s="3" t="s">
        <v>33</v>
      </c>
      <c r="D20" s="3" t="s">
        <v>19</v>
      </c>
      <c r="E20" s="5" t="s">
        <v>34</v>
      </c>
    </row>
  </sheetData>
  <mergeCells count="12">
    <mergeCell ref="G3:J3"/>
    <mergeCell ref="A5:J5"/>
    <mergeCell ref="A3:A4"/>
    <mergeCell ref="B3:B4"/>
    <mergeCell ref="C3:C4"/>
    <mergeCell ref="D3:D4"/>
    <mergeCell ref="E3:E4"/>
    <mergeCell ref="F3:F4"/>
    <mergeCell ref="K3:K4"/>
    <mergeCell ref="L3:L4"/>
    <mergeCell ref="M3:M4"/>
    <mergeCell ref="A1:M2"/>
  </mergeCells>
  <pageMargins left="0.7" right="0.7" top="0.75" bottom="0.75" header="0.3" footer="0.3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33"/>
  <sheetViews>
    <sheetView topLeftCell="A11" workbookViewId="0">
      <selection activeCell="A1" sqref="A1:Y2"/>
    </sheetView>
  </sheetViews>
  <sheetFormatPr defaultColWidth="9.11111111111111" defaultRowHeight="12.75"/>
  <cols>
    <col min="1" max="1" width="24.8888888888889" style="4" customWidth="1"/>
    <col min="2" max="2" width="30.4444444444444" style="3" customWidth="1"/>
    <col min="3" max="3" width="7.55555555555556" style="3" customWidth="1"/>
    <col min="4" max="4" width="8.77777777777778" style="3" customWidth="1"/>
    <col min="5" max="5" width="17" style="4" customWidth="1"/>
    <col min="6" max="6" width="15.5555555555556" style="4" customWidth="1"/>
    <col min="7" max="9" width="5.55555555555556" style="3" customWidth="1"/>
    <col min="10" max="10" width="4.77777777777778" style="3" customWidth="1"/>
    <col min="11" max="11" width="5.77777777777778" style="5" customWidth="1"/>
    <col min="12" max="12" width="8.55555555555556" style="6" customWidth="1"/>
    <col min="13" max="13" width="14.7777777777778" style="4" customWidth="1"/>
    <col min="14" max="16384" width="9.11111111111111" style="7"/>
  </cols>
  <sheetData>
    <row r="1" s="1" customFormat="1" ht="28.95" customHeight="1" spans="1:13">
      <c r="A1" s="8" t="s">
        <v>392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37"/>
    </row>
    <row r="2" s="1" customFormat="1" ht="61.95" customHeight="1" spans="1:13">
      <c r="A2" s="10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38"/>
    </row>
    <row r="3" s="2" customFormat="1" customHeight="1" spans="1:13">
      <c r="A3" s="12" t="s">
        <v>1</v>
      </c>
      <c r="B3" s="13" t="s">
        <v>2</v>
      </c>
      <c r="C3" s="13" t="s">
        <v>3</v>
      </c>
      <c r="D3" s="14" t="s">
        <v>204</v>
      </c>
      <c r="E3" s="14" t="s">
        <v>5</v>
      </c>
      <c r="F3" s="14" t="s">
        <v>6</v>
      </c>
      <c r="G3" s="14" t="s">
        <v>7</v>
      </c>
      <c r="H3" s="14"/>
      <c r="I3" s="14"/>
      <c r="J3" s="14"/>
      <c r="K3" s="14" t="s">
        <v>8</v>
      </c>
      <c r="L3" s="14" t="s">
        <v>9</v>
      </c>
      <c r="M3" s="39" t="s">
        <v>10</v>
      </c>
    </row>
    <row r="4" s="2" customFormat="1" ht="23.25" customHeight="1" spans="1:13">
      <c r="A4" s="15"/>
      <c r="B4" s="16"/>
      <c r="C4" s="16"/>
      <c r="D4" s="16"/>
      <c r="E4" s="16"/>
      <c r="F4" s="16"/>
      <c r="G4" s="16">
        <v>1</v>
      </c>
      <c r="H4" s="16">
        <v>2</v>
      </c>
      <c r="I4" s="16">
        <v>3</v>
      </c>
      <c r="J4" s="16" t="s">
        <v>11</v>
      </c>
      <c r="K4" s="16"/>
      <c r="L4" s="16"/>
      <c r="M4" s="40"/>
    </row>
    <row r="5" s="3" customFormat="1" ht="15.75" spans="1:13">
      <c r="A5" s="17" t="s">
        <v>270</v>
      </c>
      <c r="B5" s="18"/>
      <c r="C5" s="18"/>
      <c r="D5" s="18"/>
      <c r="E5" s="18"/>
      <c r="F5" s="18"/>
      <c r="G5" s="18"/>
      <c r="H5" s="18"/>
      <c r="I5" s="18"/>
      <c r="J5" s="18"/>
      <c r="K5" s="5"/>
      <c r="L5" s="6"/>
      <c r="M5" s="4"/>
    </row>
    <row r="6" s="3" customFormat="1" spans="1:13">
      <c r="A6" s="19" t="s">
        <v>393</v>
      </c>
      <c r="B6" s="20" t="s">
        <v>394</v>
      </c>
      <c r="C6" s="20" t="s">
        <v>395</v>
      </c>
      <c r="D6" s="20" t="str">
        <f>"0,9506"</f>
        <v>0,9506</v>
      </c>
      <c r="E6" s="19" t="s">
        <v>62</v>
      </c>
      <c r="F6" s="19" t="s">
        <v>40</v>
      </c>
      <c r="G6" s="20" t="s">
        <v>229</v>
      </c>
      <c r="H6" s="41" t="s">
        <v>236</v>
      </c>
      <c r="I6" s="41" t="s">
        <v>236</v>
      </c>
      <c r="J6" s="41"/>
      <c r="K6" s="42" t="str">
        <f>"50,0"</f>
        <v>50,0</v>
      </c>
      <c r="L6" s="43" t="str">
        <f>"47,5300"</f>
        <v>47,5300</v>
      </c>
      <c r="M6" s="19"/>
    </row>
    <row r="7" s="3" customFormat="1" spans="1:13">
      <c r="A7" s="4"/>
      <c r="E7" s="4"/>
      <c r="F7" s="4"/>
      <c r="K7" s="5"/>
      <c r="L7" s="6"/>
      <c r="M7" s="4"/>
    </row>
    <row r="8" ht="15.75" spans="1:10">
      <c r="A8" s="21" t="s">
        <v>36</v>
      </c>
      <c r="B8" s="22"/>
      <c r="C8" s="22"/>
      <c r="D8" s="22"/>
      <c r="E8" s="22"/>
      <c r="F8" s="22"/>
      <c r="G8" s="22"/>
      <c r="H8" s="22"/>
      <c r="I8" s="22"/>
      <c r="J8" s="22"/>
    </row>
    <row r="9" spans="1:13">
      <c r="A9" s="23" t="s">
        <v>37</v>
      </c>
      <c r="B9" s="24" t="s">
        <v>38</v>
      </c>
      <c r="C9" s="24" t="s">
        <v>39</v>
      </c>
      <c r="D9" s="24" t="str">
        <f>"0,8095"</f>
        <v>0,8095</v>
      </c>
      <c r="E9" s="23" t="s">
        <v>16</v>
      </c>
      <c r="F9" s="23" t="s">
        <v>40</v>
      </c>
      <c r="G9" s="24" t="s">
        <v>297</v>
      </c>
      <c r="H9" s="24" t="s">
        <v>311</v>
      </c>
      <c r="I9" s="49" t="s">
        <v>309</v>
      </c>
      <c r="J9" s="49"/>
      <c r="K9" s="44" t="str">
        <f>"112,5"</f>
        <v>112,5</v>
      </c>
      <c r="L9" s="45" t="str">
        <f>"91,0687"</f>
        <v>91,0687</v>
      </c>
      <c r="M9" s="23"/>
    </row>
    <row r="10" spans="1:13">
      <c r="A10" s="25" t="s">
        <v>396</v>
      </c>
      <c r="B10" s="26" t="s">
        <v>397</v>
      </c>
      <c r="C10" s="26" t="s">
        <v>208</v>
      </c>
      <c r="D10" s="26" t="str">
        <f>"0,8291"</f>
        <v>0,8291</v>
      </c>
      <c r="E10" s="25" t="s">
        <v>185</v>
      </c>
      <c r="F10" s="25" t="s">
        <v>398</v>
      </c>
      <c r="G10" s="26" t="s">
        <v>249</v>
      </c>
      <c r="H10" s="26" t="s">
        <v>175</v>
      </c>
      <c r="I10" s="46" t="s">
        <v>303</v>
      </c>
      <c r="J10" s="46"/>
      <c r="K10" s="47" t="str">
        <f>"70,0"</f>
        <v>70,0</v>
      </c>
      <c r="L10" s="48" t="str">
        <f>"63,3764"</f>
        <v>63,3764</v>
      </c>
      <c r="M10" s="25"/>
    </row>
    <row r="12" ht="15.75" spans="1:10">
      <c r="A12" s="21" t="s">
        <v>171</v>
      </c>
      <c r="B12" s="22"/>
      <c r="C12" s="22"/>
      <c r="D12" s="22"/>
      <c r="E12" s="22"/>
      <c r="F12" s="22"/>
      <c r="G12" s="22"/>
      <c r="H12" s="22"/>
      <c r="I12" s="22"/>
      <c r="J12" s="22"/>
    </row>
    <row r="13" spans="1:13">
      <c r="A13" s="19" t="s">
        <v>399</v>
      </c>
      <c r="B13" s="20" t="s">
        <v>400</v>
      </c>
      <c r="C13" s="20" t="s">
        <v>401</v>
      </c>
      <c r="D13" s="20" t="str">
        <f>"0,7293"</f>
        <v>0,7293</v>
      </c>
      <c r="E13" s="19" t="s">
        <v>16</v>
      </c>
      <c r="F13" s="19" t="s">
        <v>402</v>
      </c>
      <c r="G13" s="20" t="s">
        <v>175</v>
      </c>
      <c r="H13" s="20" t="s">
        <v>303</v>
      </c>
      <c r="I13" s="20" t="s">
        <v>403</v>
      </c>
      <c r="J13" s="41"/>
      <c r="K13" s="42" t="str">
        <f>"80,0"</f>
        <v>80,0</v>
      </c>
      <c r="L13" s="43" t="str">
        <f>"58,3440"</f>
        <v>58,3440</v>
      </c>
      <c r="M13" s="19"/>
    </row>
    <row r="15" ht="15.75" spans="1:10">
      <c r="A15" s="21" t="s">
        <v>36</v>
      </c>
      <c r="B15" s="22"/>
      <c r="C15" s="22"/>
      <c r="D15" s="22"/>
      <c r="E15" s="22"/>
      <c r="F15" s="22"/>
      <c r="G15" s="22"/>
      <c r="H15" s="22"/>
      <c r="I15" s="22"/>
      <c r="J15" s="22"/>
    </row>
    <row r="16" spans="1:13">
      <c r="A16" s="23" t="s">
        <v>404</v>
      </c>
      <c r="B16" s="24" t="s">
        <v>405</v>
      </c>
      <c r="C16" s="24" t="s">
        <v>406</v>
      </c>
      <c r="D16" s="24" t="str">
        <f>"0,7753"</f>
        <v>0,7753</v>
      </c>
      <c r="E16" s="23" t="s">
        <v>62</v>
      </c>
      <c r="F16" s="23" t="s">
        <v>40</v>
      </c>
      <c r="G16" s="24" t="s">
        <v>407</v>
      </c>
      <c r="H16" s="24" t="s">
        <v>228</v>
      </c>
      <c r="I16" s="24" t="s">
        <v>305</v>
      </c>
      <c r="J16" s="49"/>
      <c r="K16" s="44" t="str">
        <f>"47,5"</f>
        <v>47,5</v>
      </c>
      <c r="L16" s="45" t="str">
        <f>"36,8268"</f>
        <v>36,8268</v>
      </c>
      <c r="M16" s="23"/>
    </row>
    <row r="17" spans="1:13">
      <c r="A17" s="27" t="s">
        <v>313</v>
      </c>
      <c r="B17" s="28" t="s">
        <v>314</v>
      </c>
      <c r="C17" s="28" t="s">
        <v>46</v>
      </c>
      <c r="D17" s="28" t="str">
        <f>"0,7347"</f>
        <v>0,7347</v>
      </c>
      <c r="E17" s="27" t="s">
        <v>315</v>
      </c>
      <c r="F17" s="27" t="s">
        <v>316</v>
      </c>
      <c r="G17" s="28" t="s">
        <v>298</v>
      </c>
      <c r="H17" s="28" t="s">
        <v>41</v>
      </c>
      <c r="I17" s="28" t="s">
        <v>42</v>
      </c>
      <c r="J17" s="50"/>
      <c r="K17" s="51" t="str">
        <f>"135,0"</f>
        <v>135,0</v>
      </c>
      <c r="L17" s="52" t="str">
        <f>"99,1845"</f>
        <v>99,1845</v>
      </c>
      <c r="M17" s="27"/>
    </row>
    <row r="18" spans="1:13">
      <c r="A18" s="27" t="s">
        <v>408</v>
      </c>
      <c r="B18" s="28" t="s">
        <v>409</v>
      </c>
      <c r="C18" s="28" t="s">
        <v>410</v>
      </c>
      <c r="D18" s="28" t="str">
        <f>"0,7268"</f>
        <v>0,7268</v>
      </c>
      <c r="E18" s="27" t="s">
        <v>62</v>
      </c>
      <c r="F18" s="27" t="s">
        <v>40</v>
      </c>
      <c r="G18" s="28" t="s">
        <v>309</v>
      </c>
      <c r="H18" s="28" t="s">
        <v>411</v>
      </c>
      <c r="I18" s="28" t="s">
        <v>41</v>
      </c>
      <c r="J18" s="50"/>
      <c r="K18" s="51" t="str">
        <f>"125,0"</f>
        <v>125,0</v>
      </c>
      <c r="L18" s="52" t="str">
        <f>"90,8500"</f>
        <v>90,8500</v>
      </c>
      <c r="M18" s="27"/>
    </row>
    <row r="19" spans="1:13">
      <c r="A19" s="25" t="s">
        <v>412</v>
      </c>
      <c r="B19" s="26" t="s">
        <v>413</v>
      </c>
      <c r="C19" s="26" t="s">
        <v>414</v>
      </c>
      <c r="D19" s="26" t="str">
        <f>"0,7317"</f>
        <v>0,7317</v>
      </c>
      <c r="E19" s="25" t="s">
        <v>62</v>
      </c>
      <c r="F19" s="25" t="s">
        <v>40</v>
      </c>
      <c r="G19" s="26" t="s">
        <v>299</v>
      </c>
      <c r="H19" s="46" t="s">
        <v>311</v>
      </c>
      <c r="I19" s="46" t="s">
        <v>311</v>
      </c>
      <c r="J19" s="46"/>
      <c r="K19" s="47" t="str">
        <f>"107,5"</f>
        <v>107,5</v>
      </c>
      <c r="L19" s="48" t="str">
        <f>"78,6578"</f>
        <v>78,6578</v>
      </c>
      <c r="M19" s="25"/>
    </row>
    <row r="21" ht="15.75" spans="1:10">
      <c r="A21" s="21" t="s">
        <v>171</v>
      </c>
      <c r="B21" s="22"/>
      <c r="C21" s="22"/>
      <c r="D21" s="22"/>
      <c r="E21" s="22"/>
      <c r="F21" s="22"/>
      <c r="G21" s="22"/>
      <c r="H21" s="22"/>
      <c r="I21" s="22"/>
      <c r="J21" s="22"/>
    </row>
    <row r="22" spans="1:13">
      <c r="A22" s="23" t="s">
        <v>415</v>
      </c>
      <c r="B22" s="24" t="s">
        <v>416</v>
      </c>
      <c r="C22" s="24" t="s">
        <v>215</v>
      </c>
      <c r="D22" s="24" t="str">
        <f>"0,6645"</f>
        <v>0,6645</v>
      </c>
      <c r="E22" s="23" t="s">
        <v>62</v>
      </c>
      <c r="F22" s="23" t="s">
        <v>40</v>
      </c>
      <c r="G22" s="49" t="s">
        <v>47</v>
      </c>
      <c r="H22" s="24" t="s">
        <v>47</v>
      </c>
      <c r="I22" s="24" t="s">
        <v>48</v>
      </c>
      <c r="J22" s="49"/>
      <c r="K22" s="44" t="str">
        <f>"130,0"</f>
        <v>130,0</v>
      </c>
      <c r="L22" s="45" t="str">
        <f>"86,3850"</f>
        <v>86,3850</v>
      </c>
      <c r="M22" s="23"/>
    </row>
    <row r="23" spans="1:13">
      <c r="A23" s="27" t="s">
        <v>417</v>
      </c>
      <c r="B23" s="28" t="s">
        <v>418</v>
      </c>
      <c r="C23" s="28" t="s">
        <v>419</v>
      </c>
      <c r="D23" s="28" t="str">
        <f>"0,7155"</f>
        <v>0,7155</v>
      </c>
      <c r="E23" s="27" t="s">
        <v>62</v>
      </c>
      <c r="F23" s="27" t="s">
        <v>40</v>
      </c>
      <c r="G23" s="28" t="s">
        <v>317</v>
      </c>
      <c r="H23" s="28" t="s">
        <v>47</v>
      </c>
      <c r="I23" s="50" t="s">
        <v>41</v>
      </c>
      <c r="J23" s="50"/>
      <c r="K23" s="51" t="str">
        <f>"120,0"</f>
        <v>120,0</v>
      </c>
      <c r="L23" s="52" t="str">
        <f>"85,8600"</f>
        <v>85,8600</v>
      </c>
      <c r="M23" s="27"/>
    </row>
    <row r="24" spans="1:13">
      <c r="A24" s="25" t="s">
        <v>420</v>
      </c>
      <c r="B24" s="26" t="s">
        <v>421</v>
      </c>
      <c r="C24" s="26" t="s">
        <v>422</v>
      </c>
      <c r="D24" s="26" t="str">
        <f>"0,6782"</f>
        <v>0,6782</v>
      </c>
      <c r="E24" s="25" t="s">
        <v>62</v>
      </c>
      <c r="F24" s="25" t="s">
        <v>423</v>
      </c>
      <c r="G24" s="26" t="s">
        <v>424</v>
      </c>
      <c r="H24" s="46" t="s">
        <v>297</v>
      </c>
      <c r="I24" s="46" t="s">
        <v>309</v>
      </c>
      <c r="J24" s="46"/>
      <c r="K24" s="47" t="str">
        <f>"95,0"</f>
        <v>95,0</v>
      </c>
      <c r="L24" s="48" t="str">
        <f>"64,4290"</f>
        <v>64,4290</v>
      </c>
      <c r="M24" s="25"/>
    </row>
    <row r="26" ht="15.75" spans="1:10">
      <c r="A26" s="21" t="s">
        <v>50</v>
      </c>
      <c r="B26" s="22"/>
      <c r="C26" s="22"/>
      <c r="D26" s="22"/>
      <c r="E26" s="22"/>
      <c r="F26" s="22"/>
      <c r="G26" s="22"/>
      <c r="H26" s="22"/>
      <c r="I26" s="22"/>
      <c r="J26" s="22"/>
    </row>
    <row r="27" spans="1:13">
      <c r="A27" s="23" t="s">
        <v>425</v>
      </c>
      <c r="B27" s="24" t="s">
        <v>426</v>
      </c>
      <c r="C27" s="24" t="s">
        <v>427</v>
      </c>
      <c r="D27" s="24" t="str">
        <f>"0,6203"</f>
        <v>0,6203</v>
      </c>
      <c r="E27" s="23" t="s">
        <v>62</v>
      </c>
      <c r="F27" s="23" t="s">
        <v>428</v>
      </c>
      <c r="G27" s="24" t="s">
        <v>69</v>
      </c>
      <c r="H27" s="49" t="s">
        <v>323</v>
      </c>
      <c r="I27" s="49"/>
      <c r="J27" s="49"/>
      <c r="K27" s="44" t="str">
        <f>"190,0"</f>
        <v>190,0</v>
      </c>
      <c r="L27" s="45" t="str">
        <f>"117,8570"</f>
        <v>117,8570</v>
      </c>
      <c r="M27" s="23"/>
    </row>
    <row r="28" spans="1:13">
      <c r="A28" s="27" t="s">
        <v>429</v>
      </c>
      <c r="B28" s="28" t="s">
        <v>430</v>
      </c>
      <c r="C28" s="28" t="s">
        <v>53</v>
      </c>
      <c r="D28" s="28" t="str">
        <f>"0,6268"</f>
        <v>0,6268</v>
      </c>
      <c r="E28" s="27" t="s">
        <v>62</v>
      </c>
      <c r="F28" s="27" t="s">
        <v>431</v>
      </c>
      <c r="G28" s="28" t="s">
        <v>432</v>
      </c>
      <c r="H28" s="28" t="s">
        <v>433</v>
      </c>
      <c r="I28" s="50" t="s">
        <v>434</v>
      </c>
      <c r="J28" s="50"/>
      <c r="K28" s="51" t="str">
        <f>"145,0"</f>
        <v>145,0</v>
      </c>
      <c r="L28" s="52" t="str">
        <f>"90,8860"</f>
        <v>90,8860</v>
      </c>
      <c r="M28" s="27" t="s">
        <v>435</v>
      </c>
    </row>
    <row r="29" spans="1:13">
      <c r="A29" s="27" t="s">
        <v>436</v>
      </c>
      <c r="B29" s="28" t="s">
        <v>437</v>
      </c>
      <c r="C29" s="28" t="s">
        <v>438</v>
      </c>
      <c r="D29" s="28" t="str">
        <f>"0,6230"</f>
        <v>0,6230</v>
      </c>
      <c r="E29" s="27" t="s">
        <v>62</v>
      </c>
      <c r="F29" s="27" t="s">
        <v>40</v>
      </c>
      <c r="G29" s="28" t="s">
        <v>48</v>
      </c>
      <c r="H29" s="50" t="s">
        <v>49</v>
      </c>
      <c r="I29" s="50" t="s">
        <v>49</v>
      </c>
      <c r="J29" s="50"/>
      <c r="K29" s="51" t="str">
        <f>"130,0"</f>
        <v>130,0</v>
      </c>
      <c r="L29" s="52" t="str">
        <f>"80,9900"</f>
        <v>80,9900</v>
      </c>
      <c r="M29" s="27"/>
    </row>
    <row r="30" spans="1:13">
      <c r="A30" s="27" t="s">
        <v>439</v>
      </c>
      <c r="B30" s="28" t="s">
        <v>440</v>
      </c>
      <c r="C30" s="28" t="s">
        <v>441</v>
      </c>
      <c r="D30" s="28" t="str">
        <f>"0,6224"</f>
        <v>0,6224</v>
      </c>
      <c r="E30" s="27" t="s">
        <v>62</v>
      </c>
      <c r="F30" s="27" t="s">
        <v>40</v>
      </c>
      <c r="G30" s="28" t="s">
        <v>180</v>
      </c>
      <c r="H30" s="28" t="s">
        <v>442</v>
      </c>
      <c r="I30" s="28" t="s">
        <v>424</v>
      </c>
      <c r="J30" s="50"/>
      <c r="K30" s="51" t="str">
        <f>"95,0"</f>
        <v>95,0</v>
      </c>
      <c r="L30" s="52" t="str">
        <f>"59,1280"</f>
        <v>59,1280</v>
      </c>
      <c r="M30" s="27"/>
    </row>
    <row r="31" spans="1:13">
      <c r="A31" s="25" t="s">
        <v>443</v>
      </c>
      <c r="B31" s="26" t="s">
        <v>444</v>
      </c>
      <c r="C31" s="26" t="s">
        <v>445</v>
      </c>
      <c r="D31" s="26" t="str">
        <f>"0,6301"</f>
        <v>0,6301</v>
      </c>
      <c r="E31" s="25" t="s">
        <v>62</v>
      </c>
      <c r="F31" s="25" t="s">
        <v>40</v>
      </c>
      <c r="G31" s="46" t="s">
        <v>317</v>
      </c>
      <c r="H31" s="46" t="s">
        <v>47</v>
      </c>
      <c r="I31" s="46" t="s">
        <v>47</v>
      </c>
      <c r="J31" s="46"/>
      <c r="K31" s="47" t="str">
        <f>"0.00"</f>
        <v>0.00</v>
      </c>
      <c r="L31" s="48" t="str">
        <f>"0,0000"</f>
        <v>0,0000</v>
      </c>
      <c r="M31" s="25"/>
    </row>
    <row r="33" ht="15.75" spans="1:10">
      <c r="A33" s="21" t="s">
        <v>58</v>
      </c>
      <c r="B33" s="22"/>
      <c r="C33" s="22"/>
      <c r="D33" s="22"/>
      <c r="E33" s="22"/>
      <c r="F33" s="22"/>
      <c r="G33" s="22"/>
      <c r="H33" s="22"/>
      <c r="I33" s="22"/>
      <c r="J33" s="22"/>
    </row>
    <row r="34" spans="1:13">
      <c r="A34" s="23" t="s">
        <v>446</v>
      </c>
      <c r="B34" s="24" t="s">
        <v>447</v>
      </c>
      <c r="C34" s="24" t="s">
        <v>448</v>
      </c>
      <c r="D34" s="24" t="str">
        <f>"0,5857"</f>
        <v>0,5857</v>
      </c>
      <c r="E34" s="23" t="s">
        <v>62</v>
      </c>
      <c r="F34" s="23" t="s">
        <v>40</v>
      </c>
      <c r="G34" s="24" t="s">
        <v>449</v>
      </c>
      <c r="H34" s="24" t="s">
        <v>334</v>
      </c>
      <c r="I34" s="49" t="s">
        <v>359</v>
      </c>
      <c r="J34" s="49"/>
      <c r="K34" s="44" t="str">
        <f>"202,5"</f>
        <v>202,5</v>
      </c>
      <c r="L34" s="45" t="str">
        <f>"118,6042"</f>
        <v>118,6042</v>
      </c>
      <c r="M34" s="23" t="s">
        <v>450</v>
      </c>
    </row>
    <row r="35" spans="1:13">
      <c r="A35" s="27" t="s">
        <v>451</v>
      </c>
      <c r="B35" s="28" t="s">
        <v>452</v>
      </c>
      <c r="C35" s="28" t="s">
        <v>453</v>
      </c>
      <c r="D35" s="28" t="str">
        <f>"0,5983"</f>
        <v>0,5983</v>
      </c>
      <c r="E35" s="27" t="s">
        <v>185</v>
      </c>
      <c r="F35" s="27" t="s">
        <v>209</v>
      </c>
      <c r="G35" s="28" t="s">
        <v>433</v>
      </c>
      <c r="H35" s="28" t="s">
        <v>454</v>
      </c>
      <c r="I35" s="28" t="s">
        <v>455</v>
      </c>
      <c r="J35" s="50"/>
      <c r="K35" s="51" t="str">
        <f>"157,5"</f>
        <v>157,5</v>
      </c>
      <c r="L35" s="52" t="str">
        <f>"94,2322"</f>
        <v>94,2322</v>
      </c>
      <c r="M35" s="27"/>
    </row>
    <row r="36" spans="1:13">
      <c r="A36" s="27" t="s">
        <v>456</v>
      </c>
      <c r="B36" s="28" t="s">
        <v>457</v>
      </c>
      <c r="C36" s="28" t="s">
        <v>458</v>
      </c>
      <c r="D36" s="28" t="str">
        <f>"0,5918"</f>
        <v>0,5918</v>
      </c>
      <c r="E36" s="27" t="s">
        <v>62</v>
      </c>
      <c r="F36" s="27" t="s">
        <v>40</v>
      </c>
      <c r="G36" s="28" t="s">
        <v>433</v>
      </c>
      <c r="H36" s="28" t="s">
        <v>454</v>
      </c>
      <c r="I36" s="28" t="s">
        <v>120</v>
      </c>
      <c r="J36" s="50"/>
      <c r="K36" s="51" t="str">
        <f>"155,0"</f>
        <v>155,0</v>
      </c>
      <c r="L36" s="52" t="str">
        <f>"91,7290"</f>
        <v>91,7290</v>
      </c>
      <c r="M36" s="27"/>
    </row>
    <row r="37" spans="1:13">
      <c r="A37" s="27" t="s">
        <v>459</v>
      </c>
      <c r="B37" s="28" t="s">
        <v>460</v>
      </c>
      <c r="C37" s="28" t="s">
        <v>461</v>
      </c>
      <c r="D37" s="28" t="str">
        <f>"0,5905"</f>
        <v>0,5905</v>
      </c>
      <c r="E37" s="27" t="s">
        <v>62</v>
      </c>
      <c r="F37" s="27" t="s">
        <v>40</v>
      </c>
      <c r="G37" s="28" t="s">
        <v>41</v>
      </c>
      <c r="H37" s="28" t="s">
        <v>462</v>
      </c>
      <c r="I37" s="50" t="s">
        <v>432</v>
      </c>
      <c r="J37" s="50"/>
      <c r="K37" s="51" t="str">
        <f>"132,5"</f>
        <v>132,5</v>
      </c>
      <c r="L37" s="52" t="str">
        <f>"78,2412"</f>
        <v>78,2412</v>
      </c>
      <c r="M37" s="27"/>
    </row>
    <row r="38" spans="1:13">
      <c r="A38" s="25" t="s">
        <v>463</v>
      </c>
      <c r="B38" s="26" t="s">
        <v>464</v>
      </c>
      <c r="C38" s="26" t="s">
        <v>458</v>
      </c>
      <c r="D38" s="26" t="str">
        <f>"0,5918"</f>
        <v>0,5918</v>
      </c>
      <c r="E38" s="25" t="s">
        <v>62</v>
      </c>
      <c r="F38" s="25" t="s">
        <v>40</v>
      </c>
      <c r="G38" s="26" t="s">
        <v>465</v>
      </c>
      <c r="H38" s="46"/>
      <c r="I38" s="26" t="s">
        <v>462</v>
      </c>
      <c r="J38" s="46"/>
      <c r="K38" s="47" t="str">
        <f>"132,5"</f>
        <v>132,5</v>
      </c>
      <c r="L38" s="48" t="str">
        <f>"78,4135"</f>
        <v>78,4135</v>
      </c>
      <c r="M38" s="25" t="s">
        <v>466</v>
      </c>
    </row>
    <row r="40" ht="15.75" spans="1:10">
      <c r="A40" s="21" t="s">
        <v>104</v>
      </c>
      <c r="B40" s="22"/>
      <c r="C40" s="22"/>
      <c r="D40" s="22"/>
      <c r="E40" s="22"/>
      <c r="F40" s="22"/>
      <c r="G40" s="22"/>
      <c r="H40" s="22"/>
      <c r="I40" s="22"/>
      <c r="J40" s="22"/>
    </row>
    <row r="41" spans="1:13">
      <c r="A41" s="23" t="s">
        <v>467</v>
      </c>
      <c r="B41" s="24" t="s">
        <v>468</v>
      </c>
      <c r="C41" s="24" t="s">
        <v>469</v>
      </c>
      <c r="D41" s="24" t="str">
        <f>"0,5550"</f>
        <v>0,5550</v>
      </c>
      <c r="E41" s="23" t="s">
        <v>185</v>
      </c>
      <c r="F41" s="23" t="s">
        <v>398</v>
      </c>
      <c r="G41" s="24" t="s">
        <v>49</v>
      </c>
      <c r="H41" s="24" t="s">
        <v>434</v>
      </c>
      <c r="I41" s="24" t="s">
        <v>454</v>
      </c>
      <c r="J41" s="49"/>
      <c r="K41" s="44" t="str">
        <f>"152,5"</f>
        <v>152,5</v>
      </c>
      <c r="L41" s="45" t="str">
        <f>"84,6375"</f>
        <v>84,6375</v>
      </c>
      <c r="M41" s="23"/>
    </row>
    <row r="42" spans="1:13">
      <c r="A42" s="27" t="s">
        <v>470</v>
      </c>
      <c r="B42" s="28" t="s">
        <v>338</v>
      </c>
      <c r="C42" s="28" t="s">
        <v>184</v>
      </c>
      <c r="D42" s="28" t="str">
        <f>"0,5591"</f>
        <v>0,5591</v>
      </c>
      <c r="E42" s="27" t="s">
        <v>315</v>
      </c>
      <c r="F42" s="27" t="s">
        <v>316</v>
      </c>
      <c r="G42" s="28" t="s">
        <v>187</v>
      </c>
      <c r="H42" s="28" t="s">
        <v>41</v>
      </c>
      <c r="I42" s="50" t="s">
        <v>49</v>
      </c>
      <c r="J42" s="50"/>
      <c r="K42" s="51" t="str">
        <f>"125,0"</f>
        <v>125,0</v>
      </c>
      <c r="L42" s="52" t="str">
        <f>"69,8875"</f>
        <v>69,8875</v>
      </c>
      <c r="M42" s="27"/>
    </row>
    <row r="43" spans="1:13">
      <c r="A43" s="27" t="s">
        <v>471</v>
      </c>
      <c r="B43" s="28" t="s">
        <v>472</v>
      </c>
      <c r="C43" s="28" t="s">
        <v>473</v>
      </c>
      <c r="D43" s="28" t="str">
        <f>"0,5570"</f>
        <v>0,5570</v>
      </c>
      <c r="E43" s="27" t="s">
        <v>16</v>
      </c>
      <c r="F43" s="27" t="s">
        <v>474</v>
      </c>
      <c r="G43" s="28" t="s">
        <v>119</v>
      </c>
      <c r="H43" s="50" t="s">
        <v>475</v>
      </c>
      <c r="I43" s="28" t="s">
        <v>475</v>
      </c>
      <c r="J43" s="50"/>
      <c r="K43" s="51" t="str">
        <f>"162,5"</f>
        <v>162,5</v>
      </c>
      <c r="L43" s="52" t="str">
        <f>"91,3271"</f>
        <v>91,3271</v>
      </c>
      <c r="M43" s="27"/>
    </row>
    <row r="44" spans="1:13">
      <c r="A44" s="27" t="s">
        <v>476</v>
      </c>
      <c r="B44" s="28" t="s">
        <v>477</v>
      </c>
      <c r="C44" s="28" t="s">
        <v>184</v>
      </c>
      <c r="D44" s="28" t="str">
        <f>"0,5591"</f>
        <v>0,5591</v>
      </c>
      <c r="E44" s="27" t="s">
        <v>185</v>
      </c>
      <c r="F44" s="27" t="s">
        <v>186</v>
      </c>
      <c r="G44" s="50" t="s">
        <v>43</v>
      </c>
      <c r="H44" s="50" t="s">
        <v>43</v>
      </c>
      <c r="I44" s="50" t="s">
        <v>43</v>
      </c>
      <c r="J44" s="50"/>
      <c r="K44" s="51" t="str">
        <f>"0.00"</f>
        <v>0.00</v>
      </c>
      <c r="L44" s="52" t="str">
        <f>"0,0000"</f>
        <v>0,0000</v>
      </c>
      <c r="M44" s="27"/>
    </row>
    <row r="45" spans="1:13">
      <c r="A45" s="25" t="s">
        <v>478</v>
      </c>
      <c r="B45" s="26" t="s">
        <v>479</v>
      </c>
      <c r="C45" s="26" t="s">
        <v>117</v>
      </c>
      <c r="D45" s="26" t="str">
        <f>"0,5540"</f>
        <v>0,5540</v>
      </c>
      <c r="E45" s="25" t="s">
        <v>62</v>
      </c>
      <c r="F45" s="25" t="s">
        <v>480</v>
      </c>
      <c r="G45" s="26" t="s">
        <v>49</v>
      </c>
      <c r="H45" s="26" t="s">
        <v>433</v>
      </c>
      <c r="I45" s="26" t="s">
        <v>119</v>
      </c>
      <c r="J45" s="46"/>
      <c r="K45" s="47" t="str">
        <f>"150,0"</f>
        <v>150,0</v>
      </c>
      <c r="L45" s="48" t="str">
        <f>"122,9880"</f>
        <v>122,9880</v>
      </c>
      <c r="M45" s="25"/>
    </row>
    <row r="47" ht="15.75" spans="1:10">
      <c r="A47" s="21" t="s">
        <v>12</v>
      </c>
      <c r="B47" s="22"/>
      <c r="C47" s="22"/>
      <c r="D47" s="22"/>
      <c r="E47" s="22"/>
      <c r="F47" s="22"/>
      <c r="G47" s="22"/>
      <c r="H47" s="22"/>
      <c r="I47" s="22"/>
      <c r="J47" s="22"/>
    </row>
    <row r="48" spans="1:13">
      <c r="A48" s="23" t="s">
        <v>481</v>
      </c>
      <c r="B48" s="24" t="s">
        <v>482</v>
      </c>
      <c r="C48" s="24" t="s">
        <v>483</v>
      </c>
      <c r="D48" s="24" t="str">
        <f>"0,5389"</f>
        <v>0,5389</v>
      </c>
      <c r="E48" s="23" t="s">
        <v>62</v>
      </c>
      <c r="F48" s="23" t="s">
        <v>244</v>
      </c>
      <c r="G48" s="24" t="s">
        <v>322</v>
      </c>
      <c r="H48" s="24" t="s">
        <v>69</v>
      </c>
      <c r="I48" s="24" t="s">
        <v>484</v>
      </c>
      <c r="J48" s="49"/>
      <c r="K48" s="44" t="str">
        <f>"197,5"</f>
        <v>197,5</v>
      </c>
      <c r="L48" s="45" t="str">
        <f>"106,4328"</f>
        <v>106,4328</v>
      </c>
      <c r="M48" s="23"/>
    </row>
    <row r="49" spans="1:13">
      <c r="A49" s="27" t="s">
        <v>485</v>
      </c>
      <c r="B49" s="28" t="s">
        <v>486</v>
      </c>
      <c r="C49" s="28" t="s">
        <v>487</v>
      </c>
      <c r="D49" s="28" t="str">
        <f>"0,5380"</f>
        <v>0,5380</v>
      </c>
      <c r="E49" s="27" t="s">
        <v>62</v>
      </c>
      <c r="F49" s="27" t="s">
        <v>209</v>
      </c>
      <c r="G49" s="50" t="s">
        <v>187</v>
      </c>
      <c r="H49" s="28" t="s">
        <v>187</v>
      </c>
      <c r="I49" s="50" t="s">
        <v>310</v>
      </c>
      <c r="J49" s="50"/>
      <c r="K49" s="51" t="str">
        <f>"100,0"</f>
        <v>100,0</v>
      </c>
      <c r="L49" s="52" t="str">
        <f>"60,0946"</f>
        <v>60,0946</v>
      </c>
      <c r="M49" s="27"/>
    </row>
    <row r="50" spans="1:13">
      <c r="A50" s="27" t="s">
        <v>488</v>
      </c>
      <c r="B50" s="28" t="s">
        <v>489</v>
      </c>
      <c r="C50" s="28" t="s">
        <v>490</v>
      </c>
      <c r="D50" s="28" t="str">
        <f>"0,5495"</f>
        <v>0,5495</v>
      </c>
      <c r="E50" s="27" t="s">
        <v>62</v>
      </c>
      <c r="F50" s="27" t="s">
        <v>244</v>
      </c>
      <c r="G50" s="28" t="s">
        <v>475</v>
      </c>
      <c r="H50" s="28" t="s">
        <v>491</v>
      </c>
      <c r="I50" s="50" t="s">
        <v>330</v>
      </c>
      <c r="J50" s="50"/>
      <c r="K50" s="51" t="str">
        <f>"167,5"</f>
        <v>167,5</v>
      </c>
      <c r="L50" s="52" t="str">
        <f>"117,9048"</f>
        <v>117,9048</v>
      </c>
      <c r="M50" s="27"/>
    </row>
    <row r="51" spans="1:13">
      <c r="A51" s="25" t="s">
        <v>492</v>
      </c>
      <c r="B51" s="26" t="s">
        <v>493</v>
      </c>
      <c r="C51" s="26" t="s">
        <v>494</v>
      </c>
      <c r="D51" s="26" t="str">
        <f>"0,5402"</f>
        <v>0,5402</v>
      </c>
      <c r="E51" s="25" t="s">
        <v>495</v>
      </c>
      <c r="F51" s="25" t="s">
        <v>40</v>
      </c>
      <c r="G51" s="26" t="s">
        <v>325</v>
      </c>
      <c r="H51" s="46" t="s">
        <v>475</v>
      </c>
      <c r="I51" s="46"/>
      <c r="J51" s="46"/>
      <c r="K51" s="47" t="str">
        <f>"160,0"</f>
        <v>160,0</v>
      </c>
      <c r="L51" s="48" t="str">
        <f>"104,0641"</f>
        <v>104,0641</v>
      </c>
      <c r="M51" s="25"/>
    </row>
    <row r="53" ht="15.75" spans="1:10">
      <c r="A53" s="21" t="s">
        <v>72</v>
      </c>
      <c r="B53" s="22"/>
      <c r="C53" s="22"/>
      <c r="D53" s="22"/>
      <c r="E53" s="22"/>
      <c r="F53" s="22"/>
      <c r="G53" s="22"/>
      <c r="H53" s="22"/>
      <c r="I53" s="22"/>
      <c r="J53" s="22"/>
    </row>
    <row r="54" spans="1:13">
      <c r="A54" s="23" t="s">
        <v>73</v>
      </c>
      <c r="B54" s="24" t="s">
        <v>496</v>
      </c>
      <c r="C54" s="24" t="s">
        <v>75</v>
      </c>
      <c r="D54" s="24" t="str">
        <f>"0,5278"</f>
        <v>0,5278</v>
      </c>
      <c r="E54" s="23" t="s">
        <v>62</v>
      </c>
      <c r="F54" s="23" t="s">
        <v>76</v>
      </c>
      <c r="G54" s="24" t="s">
        <v>350</v>
      </c>
      <c r="H54" s="24" t="s">
        <v>334</v>
      </c>
      <c r="I54" s="24" t="s">
        <v>497</v>
      </c>
      <c r="J54" s="49"/>
      <c r="K54" s="44" t="str">
        <f>"205,0"</f>
        <v>205,0</v>
      </c>
      <c r="L54" s="45" t="str">
        <f>"108,1990"</f>
        <v>108,1990</v>
      </c>
      <c r="M54" s="23" t="s">
        <v>79</v>
      </c>
    </row>
    <row r="55" spans="1:13">
      <c r="A55" s="27" t="s">
        <v>498</v>
      </c>
      <c r="B55" s="28" t="s">
        <v>499</v>
      </c>
      <c r="C55" s="28" t="s">
        <v>500</v>
      </c>
      <c r="D55" s="28" t="str">
        <f>"0,5234"</f>
        <v>0,5234</v>
      </c>
      <c r="E55" s="27" t="s">
        <v>185</v>
      </c>
      <c r="F55" s="27" t="s">
        <v>40</v>
      </c>
      <c r="G55" s="28" t="s">
        <v>433</v>
      </c>
      <c r="H55" s="50" t="s">
        <v>454</v>
      </c>
      <c r="I55" s="28" t="s">
        <v>454</v>
      </c>
      <c r="J55" s="50"/>
      <c r="K55" s="51" t="str">
        <f>"152,5"</f>
        <v>152,5</v>
      </c>
      <c r="L55" s="52" t="str">
        <f>"79,8185"</f>
        <v>79,8185</v>
      </c>
      <c r="M55" s="27"/>
    </row>
    <row r="56" spans="1:13">
      <c r="A56" s="27" t="s">
        <v>501</v>
      </c>
      <c r="B56" s="28" t="s">
        <v>502</v>
      </c>
      <c r="C56" s="28" t="s">
        <v>503</v>
      </c>
      <c r="D56" s="28" t="str">
        <f>"0,5242"</f>
        <v>0,5242</v>
      </c>
      <c r="E56" s="27" t="s">
        <v>62</v>
      </c>
      <c r="F56" s="27" t="s">
        <v>40</v>
      </c>
      <c r="G56" s="50" t="s">
        <v>334</v>
      </c>
      <c r="H56" s="50" t="s">
        <v>70</v>
      </c>
      <c r="I56" s="50" t="s">
        <v>70</v>
      </c>
      <c r="J56" s="50"/>
      <c r="K56" s="51" t="str">
        <f>"0.00"</f>
        <v>0.00</v>
      </c>
      <c r="L56" s="52" t="str">
        <f>"0,0000"</f>
        <v>0,0000</v>
      </c>
      <c r="M56" s="27"/>
    </row>
    <row r="57" spans="1:13">
      <c r="A57" s="27" t="s">
        <v>504</v>
      </c>
      <c r="B57" s="28" t="s">
        <v>505</v>
      </c>
      <c r="C57" s="28" t="s">
        <v>506</v>
      </c>
      <c r="D57" s="28" t="str">
        <f>"0,5255"</f>
        <v>0,5255</v>
      </c>
      <c r="E57" s="27" t="s">
        <v>507</v>
      </c>
      <c r="F57" s="27" t="s">
        <v>508</v>
      </c>
      <c r="G57" s="28" t="s">
        <v>344</v>
      </c>
      <c r="H57" s="50" t="s">
        <v>322</v>
      </c>
      <c r="I57" s="28" t="s">
        <v>322</v>
      </c>
      <c r="J57" s="50"/>
      <c r="K57" s="51" t="str">
        <f>"180,0"</f>
        <v>180,0</v>
      </c>
      <c r="L57" s="52" t="str">
        <f>"97,5223"</f>
        <v>97,5223</v>
      </c>
      <c r="M57" s="27"/>
    </row>
    <row r="58" spans="1:13">
      <c r="A58" s="27" t="s">
        <v>73</v>
      </c>
      <c r="B58" s="28" t="s">
        <v>74</v>
      </c>
      <c r="C58" s="28" t="s">
        <v>75</v>
      </c>
      <c r="D58" s="28" t="str">
        <f>"0,5278"</f>
        <v>0,5278</v>
      </c>
      <c r="E58" s="27" t="s">
        <v>62</v>
      </c>
      <c r="F58" s="27" t="s">
        <v>76</v>
      </c>
      <c r="G58" s="28" t="s">
        <v>350</v>
      </c>
      <c r="H58" s="28" t="s">
        <v>334</v>
      </c>
      <c r="I58" s="28" t="s">
        <v>497</v>
      </c>
      <c r="J58" s="50"/>
      <c r="K58" s="51" t="str">
        <f>"205,0"</f>
        <v>205,0</v>
      </c>
      <c r="L58" s="52" t="str">
        <f>"113,3926"</f>
        <v>113,3926</v>
      </c>
      <c r="M58" s="27" t="s">
        <v>79</v>
      </c>
    </row>
    <row r="59" spans="1:13">
      <c r="A59" s="27" t="s">
        <v>509</v>
      </c>
      <c r="B59" s="28" t="s">
        <v>510</v>
      </c>
      <c r="C59" s="28" t="s">
        <v>511</v>
      </c>
      <c r="D59" s="28" t="str">
        <f>"0,5210"</f>
        <v>0,5210</v>
      </c>
      <c r="E59" s="27" t="s">
        <v>62</v>
      </c>
      <c r="F59" s="27" t="s">
        <v>40</v>
      </c>
      <c r="G59" s="28" t="s">
        <v>48</v>
      </c>
      <c r="H59" s="28" t="s">
        <v>432</v>
      </c>
      <c r="I59" s="50" t="s">
        <v>43</v>
      </c>
      <c r="J59" s="50"/>
      <c r="K59" s="51" t="str">
        <f>"137,5"</f>
        <v>137,5</v>
      </c>
      <c r="L59" s="52" t="str">
        <f>"81,9533"</f>
        <v>81,9533</v>
      </c>
      <c r="M59" s="27"/>
    </row>
    <row r="60" spans="1:13">
      <c r="A60" s="25" t="s">
        <v>501</v>
      </c>
      <c r="B60" s="26" t="s">
        <v>512</v>
      </c>
      <c r="C60" s="26" t="s">
        <v>503</v>
      </c>
      <c r="D60" s="26" t="str">
        <f>"0,5242"</f>
        <v>0,5242</v>
      </c>
      <c r="E60" s="25" t="s">
        <v>62</v>
      </c>
      <c r="F60" s="25" t="s">
        <v>40</v>
      </c>
      <c r="G60" s="46" t="s">
        <v>334</v>
      </c>
      <c r="H60" s="46" t="s">
        <v>70</v>
      </c>
      <c r="I60" s="46" t="s">
        <v>70</v>
      </c>
      <c r="J60" s="46"/>
      <c r="K60" s="47" t="str">
        <f>"0.00"</f>
        <v>0.00</v>
      </c>
      <c r="L60" s="48" t="str">
        <f>"0,0000"</f>
        <v>0,0000</v>
      </c>
      <c r="M60" s="25"/>
    </row>
    <row r="62" ht="15.75" spans="1:10">
      <c r="A62" s="21" t="s">
        <v>351</v>
      </c>
      <c r="B62" s="22"/>
      <c r="C62" s="22"/>
      <c r="D62" s="22"/>
      <c r="E62" s="22"/>
      <c r="F62" s="22"/>
      <c r="G62" s="22"/>
      <c r="H62" s="22"/>
      <c r="I62" s="22"/>
      <c r="J62" s="22"/>
    </row>
    <row r="63" spans="1:13">
      <c r="A63" s="19" t="s">
        <v>513</v>
      </c>
      <c r="B63" s="20" t="s">
        <v>514</v>
      </c>
      <c r="C63" s="20" t="s">
        <v>515</v>
      </c>
      <c r="D63" s="20" t="str">
        <f>"0,5115"</f>
        <v>0,5115</v>
      </c>
      <c r="E63" s="19" t="s">
        <v>507</v>
      </c>
      <c r="F63" s="19" t="s">
        <v>40</v>
      </c>
      <c r="G63" s="20" t="s">
        <v>330</v>
      </c>
      <c r="H63" s="20" t="s">
        <v>516</v>
      </c>
      <c r="I63" s="41" t="s">
        <v>322</v>
      </c>
      <c r="J63" s="41"/>
      <c r="K63" s="42" t="str">
        <f>"177,5"</f>
        <v>177,5</v>
      </c>
      <c r="L63" s="43" t="str">
        <f>"134,3711"</f>
        <v>134,3711</v>
      </c>
      <c r="M63" s="19"/>
    </row>
    <row r="65" ht="15.75" spans="5:5">
      <c r="E65" s="29" t="s">
        <v>20</v>
      </c>
    </row>
    <row r="66" ht="15.75" spans="5:5">
      <c r="E66" s="29" t="s">
        <v>21</v>
      </c>
    </row>
    <row r="67" ht="15.75" spans="5:5">
      <c r="E67" s="29" t="s">
        <v>22</v>
      </c>
    </row>
    <row r="68" spans="5:5">
      <c r="E68" s="4" t="s">
        <v>23</v>
      </c>
    </row>
    <row r="69" spans="5:5">
      <c r="E69" s="4" t="s">
        <v>24</v>
      </c>
    </row>
    <row r="70" spans="5:5">
      <c r="E70" s="4" t="s">
        <v>25</v>
      </c>
    </row>
    <row r="73" ht="18.75" spans="1:2">
      <c r="A73" s="30" t="s">
        <v>26</v>
      </c>
      <c r="B73" s="31"/>
    </row>
    <row r="74" ht="15.75" spans="1:2">
      <c r="A74" s="32" t="s">
        <v>80</v>
      </c>
      <c r="B74" s="21"/>
    </row>
    <row r="75" ht="15" spans="1:2">
      <c r="A75" s="33"/>
      <c r="B75" s="34" t="s">
        <v>160</v>
      </c>
    </row>
    <row r="76" ht="14.25" spans="1:5">
      <c r="A76" s="35" t="s">
        <v>1</v>
      </c>
      <c r="B76" s="35" t="s">
        <v>29</v>
      </c>
      <c r="C76" s="35" t="s">
        <v>30</v>
      </c>
      <c r="D76" s="35" t="s">
        <v>31</v>
      </c>
      <c r="E76" s="35" t="s">
        <v>204</v>
      </c>
    </row>
    <row r="77" spans="1:5">
      <c r="A77" s="36" t="s">
        <v>517</v>
      </c>
      <c r="B77" s="3" t="s">
        <v>366</v>
      </c>
      <c r="C77" s="3" t="s">
        <v>281</v>
      </c>
      <c r="D77" s="3" t="s">
        <v>229</v>
      </c>
      <c r="E77" s="5" t="s">
        <v>518</v>
      </c>
    </row>
    <row r="79" ht="15" spans="1:2">
      <c r="A79" s="33"/>
      <c r="B79" s="34" t="s">
        <v>28</v>
      </c>
    </row>
    <row r="80" ht="14.25" spans="1:5">
      <c r="A80" s="35" t="s">
        <v>1</v>
      </c>
      <c r="B80" s="35" t="s">
        <v>29</v>
      </c>
      <c r="C80" s="35" t="s">
        <v>30</v>
      </c>
      <c r="D80" s="35" t="s">
        <v>31</v>
      </c>
      <c r="E80" s="35" t="s">
        <v>204</v>
      </c>
    </row>
    <row r="81" spans="1:5">
      <c r="A81" s="36" t="s">
        <v>81</v>
      </c>
      <c r="B81" s="3" t="s">
        <v>28</v>
      </c>
      <c r="C81" s="3" t="s">
        <v>82</v>
      </c>
      <c r="D81" s="3" t="s">
        <v>311</v>
      </c>
      <c r="E81" s="5" t="s">
        <v>519</v>
      </c>
    </row>
    <row r="83" ht="15" spans="1:2">
      <c r="A83" s="33"/>
      <c r="B83" s="34" t="s">
        <v>84</v>
      </c>
    </row>
    <row r="84" ht="14.25" spans="1:5">
      <c r="A84" s="35" t="s">
        <v>1</v>
      </c>
      <c r="B84" s="35" t="s">
        <v>29</v>
      </c>
      <c r="C84" s="35" t="s">
        <v>30</v>
      </c>
      <c r="D84" s="35" t="s">
        <v>31</v>
      </c>
      <c r="E84" s="35" t="s">
        <v>204</v>
      </c>
    </row>
    <row r="85" spans="1:5">
      <c r="A85" s="36" t="s">
        <v>520</v>
      </c>
      <c r="B85" s="3" t="s">
        <v>94</v>
      </c>
      <c r="C85" s="3" t="s">
        <v>82</v>
      </c>
      <c r="D85" s="3" t="s">
        <v>175</v>
      </c>
      <c r="E85" s="5" t="s">
        <v>521</v>
      </c>
    </row>
    <row r="86" spans="1:5">
      <c r="A86" s="36" t="s">
        <v>522</v>
      </c>
      <c r="B86" s="3" t="s">
        <v>141</v>
      </c>
      <c r="C86" s="3" t="s">
        <v>190</v>
      </c>
      <c r="D86" s="3" t="s">
        <v>403</v>
      </c>
      <c r="E86" s="5" t="s">
        <v>523</v>
      </c>
    </row>
    <row r="89" ht="15.75" spans="1:2">
      <c r="A89" s="32" t="s">
        <v>27</v>
      </c>
      <c r="B89" s="21"/>
    </row>
    <row r="90" ht="15" spans="1:2">
      <c r="A90" s="33"/>
      <c r="B90" s="34" t="s">
        <v>160</v>
      </c>
    </row>
    <row r="91" ht="14.25" spans="1:5">
      <c r="A91" s="35" t="s">
        <v>1</v>
      </c>
      <c r="B91" s="35" t="s">
        <v>29</v>
      </c>
      <c r="C91" s="35" t="s">
        <v>30</v>
      </c>
      <c r="D91" s="35" t="s">
        <v>31</v>
      </c>
      <c r="E91" s="35" t="s">
        <v>204</v>
      </c>
    </row>
    <row r="92" spans="1:5">
      <c r="A92" s="36" t="s">
        <v>524</v>
      </c>
      <c r="B92" s="3" t="s">
        <v>370</v>
      </c>
      <c r="C92" s="3" t="s">
        <v>82</v>
      </c>
      <c r="D92" s="3" t="s">
        <v>305</v>
      </c>
      <c r="E92" s="5" t="s">
        <v>525</v>
      </c>
    </row>
    <row r="94" ht="15" spans="1:2">
      <c r="A94" s="33"/>
      <c r="B94" s="34" t="s">
        <v>355</v>
      </c>
    </row>
    <row r="95" ht="14.25" spans="1:5">
      <c r="A95" s="35" t="s">
        <v>1</v>
      </c>
      <c r="B95" s="35" t="s">
        <v>29</v>
      </c>
      <c r="C95" s="35" t="s">
        <v>30</v>
      </c>
      <c r="D95" s="35" t="s">
        <v>31</v>
      </c>
      <c r="E95" s="35" t="s">
        <v>204</v>
      </c>
    </row>
    <row r="96" spans="1:5">
      <c r="A96" s="36" t="s">
        <v>526</v>
      </c>
      <c r="B96" s="3" t="s">
        <v>358</v>
      </c>
      <c r="C96" s="3" t="s">
        <v>89</v>
      </c>
      <c r="D96" s="3" t="s">
        <v>69</v>
      </c>
      <c r="E96" s="5" t="s">
        <v>527</v>
      </c>
    </row>
    <row r="98" ht="15" spans="1:2">
      <c r="A98" s="33"/>
      <c r="B98" s="34" t="s">
        <v>28</v>
      </c>
    </row>
    <row r="99" ht="14.25" spans="1:5">
      <c r="A99" s="35" t="s">
        <v>1</v>
      </c>
      <c r="B99" s="35" t="s">
        <v>29</v>
      </c>
      <c r="C99" s="35" t="s">
        <v>30</v>
      </c>
      <c r="D99" s="35" t="s">
        <v>31</v>
      </c>
      <c r="E99" s="35" t="s">
        <v>204</v>
      </c>
    </row>
    <row r="100" spans="1:5">
      <c r="A100" s="36" t="s">
        <v>528</v>
      </c>
      <c r="B100" s="3" t="s">
        <v>28</v>
      </c>
      <c r="C100" s="3" t="s">
        <v>196</v>
      </c>
      <c r="D100" s="3" t="s">
        <v>334</v>
      </c>
      <c r="E100" s="5" t="s">
        <v>529</v>
      </c>
    </row>
    <row r="101" spans="1:5">
      <c r="A101" s="36" t="s">
        <v>93</v>
      </c>
      <c r="B101" s="3" t="s">
        <v>28</v>
      </c>
      <c r="C101" s="3" t="s">
        <v>95</v>
      </c>
      <c r="D101" s="3" t="s">
        <v>497</v>
      </c>
      <c r="E101" s="5" t="s">
        <v>530</v>
      </c>
    </row>
    <row r="102" spans="1:5">
      <c r="A102" s="36" t="s">
        <v>531</v>
      </c>
      <c r="B102" s="3" t="s">
        <v>28</v>
      </c>
      <c r="C102" s="3" t="s">
        <v>33</v>
      </c>
      <c r="D102" s="3" t="s">
        <v>484</v>
      </c>
      <c r="E102" s="5" t="s">
        <v>532</v>
      </c>
    </row>
    <row r="103" spans="1:5">
      <c r="A103" s="36" t="s">
        <v>389</v>
      </c>
      <c r="B103" s="3" t="s">
        <v>28</v>
      </c>
      <c r="C103" s="3" t="s">
        <v>82</v>
      </c>
      <c r="D103" s="3" t="s">
        <v>42</v>
      </c>
      <c r="E103" s="5" t="s">
        <v>533</v>
      </c>
    </row>
    <row r="104" spans="1:5">
      <c r="A104" s="36" t="s">
        <v>534</v>
      </c>
      <c r="B104" s="3" t="s">
        <v>28</v>
      </c>
      <c r="C104" s="3" t="s">
        <v>196</v>
      </c>
      <c r="D104" s="3" t="s">
        <v>455</v>
      </c>
      <c r="E104" s="5" t="s">
        <v>535</v>
      </c>
    </row>
    <row r="105" spans="1:5">
      <c r="A105" s="36" t="s">
        <v>536</v>
      </c>
      <c r="B105" s="3" t="s">
        <v>28</v>
      </c>
      <c r="C105" s="3" t="s">
        <v>196</v>
      </c>
      <c r="D105" s="3" t="s">
        <v>120</v>
      </c>
      <c r="E105" s="5" t="s">
        <v>537</v>
      </c>
    </row>
    <row r="106" spans="1:5">
      <c r="A106" s="36" t="s">
        <v>538</v>
      </c>
      <c r="B106" s="3" t="s">
        <v>28</v>
      </c>
      <c r="C106" s="3" t="s">
        <v>89</v>
      </c>
      <c r="D106" s="3" t="s">
        <v>433</v>
      </c>
      <c r="E106" s="5" t="s">
        <v>539</v>
      </c>
    </row>
    <row r="107" spans="1:5">
      <c r="A107" s="36" t="s">
        <v>540</v>
      </c>
      <c r="B107" s="3" t="s">
        <v>28</v>
      </c>
      <c r="C107" s="3" t="s">
        <v>82</v>
      </c>
      <c r="D107" s="3" t="s">
        <v>41</v>
      </c>
      <c r="E107" s="5" t="s">
        <v>541</v>
      </c>
    </row>
    <row r="108" spans="1:5">
      <c r="A108" s="36" t="s">
        <v>542</v>
      </c>
      <c r="B108" s="3" t="s">
        <v>28</v>
      </c>
      <c r="C108" s="3" t="s">
        <v>190</v>
      </c>
      <c r="D108" s="3" t="s">
        <v>48</v>
      </c>
      <c r="E108" s="5" t="s">
        <v>543</v>
      </c>
    </row>
    <row r="109" spans="1:5">
      <c r="A109" s="36" t="s">
        <v>544</v>
      </c>
      <c r="B109" s="3" t="s">
        <v>28</v>
      </c>
      <c r="C109" s="3" t="s">
        <v>190</v>
      </c>
      <c r="D109" s="3" t="s">
        <v>47</v>
      </c>
      <c r="E109" s="5" t="s">
        <v>545</v>
      </c>
    </row>
    <row r="110" spans="1:5">
      <c r="A110" s="36" t="s">
        <v>546</v>
      </c>
      <c r="B110" s="3" t="s">
        <v>28</v>
      </c>
      <c r="C110" s="3" t="s">
        <v>136</v>
      </c>
      <c r="D110" s="3" t="s">
        <v>454</v>
      </c>
      <c r="E110" s="5" t="s">
        <v>547</v>
      </c>
    </row>
    <row r="111" spans="1:5">
      <c r="A111" s="36" t="s">
        <v>548</v>
      </c>
      <c r="B111" s="3" t="s">
        <v>28</v>
      </c>
      <c r="C111" s="3" t="s">
        <v>89</v>
      </c>
      <c r="D111" s="3" t="s">
        <v>48</v>
      </c>
      <c r="E111" s="5" t="s">
        <v>549</v>
      </c>
    </row>
    <row r="112" spans="1:5">
      <c r="A112" s="36" t="s">
        <v>550</v>
      </c>
      <c r="B112" s="3" t="s">
        <v>28</v>
      </c>
      <c r="C112" s="3" t="s">
        <v>95</v>
      </c>
      <c r="D112" s="3" t="s">
        <v>454</v>
      </c>
      <c r="E112" s="5" t="s">
        <v>551</v>
      </c>
    </row>
    <row r="113" spans="1:5">
      <c r="A113" s="36" t="s">
        <v>552</v>
      </c>
      <c r="B113" s="3" t="s">
        <v>28</v>
      </c>
      <c r="C113" s="3" t="s">
        <v>82</v>
      </c>
      <c r="D113" s="3" t="s">
        <v>299</v>
      </c>
      <c r="E113" s="5" t="s">
        <v>553</v>
      </c>
    </row>
    <row r="114" spans="1:5">
      <c r="A114" s="36" t="s">
        <v>554</v>
      </c>
      <c r="B114" s="3" t="s">
        <v>28</v>
      </c>
      <c r="C114" s="3" t="s">
        <v>196</v>
      </c>
      <c r="D114" s="3" t="s">
        <v>462</v>
      </c>
      <c r="E114" s="5" t="s">
        <v>555</v>
      </c>
    </row>
    <row r="115" spans="1:5">
      <c r="A115" s="36" t="s">
        <v>556</v>
      </c>
      <c r="B115" s="3" t="s">
        <v>28</v>
      </c>
      <c r="C115" s="3" t="s">
        <v>136</v>
      </c>
      <c r="D115" s="3" t="s">
        <v>41</v>
      </c>
      <c r="E115" s="5" t="s">
        <v>557</v>
      </c>
    </row>
    <row r="116" spans="1:5">
      <c r="A116" s="36" t="s">
        <v>558</v>
      </c>
      <c r="B116" s="3" t="s">
        <v>28</v>
      </c>
      <c r="C116" s="3" t="s">
        <v>190</v>
      </c>
      <c r="D116" s="3" t="s">
        <v>424</v>
      </c>
      <c r="E116" s="5" t="s">
        <v>559</v>
      </c>
    </row>
    <row r="117" spans="1:5">
      <c r="A117" s="36" t="s">
        <v>560</v>
      </c>
      <c r="B117" s="3" t="s">
        <v>28</v>
      </c>
      <c r="C117" s="3" t="s">
        <v>89</v>
      </c>
      <c r="D117" s="3" t="s">
        <v>424</v>
      </c>
      <c r="E117" s="5" t="s">
        <v>561</v>
      </c>
    </row>
    <row r="119" ht="15" spans="1:2">
      <c r="A119" s="33"/>
      <c r="B119" s="34" t="s">
        <v>285</v>
      </c>
    </row>
    <row r="120" ht="14.25" spans="1:5">
      <c r="A120" s="35" t="s">
        <v>1</v>
      </c>
      <c r="B120" s="35" t="s">
        <v>29</v>
      </c>
      <c r="C120" s="35" t="s">
        <v>30</v>
      </c>
      <c r="D120" s="35" t="s">
        <v>31</v>
      </c>
      <c r="E120" s="35" t="s">
        <v>204</v>
      </c>
    </row>
    <row r="121" spans="1:5">
      <c r="A121" s="36" t="s">
        <v>562</v>
      </c>
      <c r="B121" s="3" t="s">
        <v>286</v>
      </c>
      <c r="C121" s="3" t="s">
        <v>196</v>
      </c>
      <c r="D121" s="3" t="s">
        <v>462</v>
      </c>
      <c r="E121" s="5" t="s">
        <v>563</v>
      </c>
    </row>
    <row r="123" ht="15" spans="1:2">
      <c r="A123" s="33"/>
      <c r="B123" s="34" t="s">
        <v>84</v>
      </c>
    </row>
    <row r="124" ht="14.25" spans="1:5">
      <c r="A124" s="35" t="s">
        <v>1</v>
      </c>
      <c r="B124" s="35" t="s">
        <v>29</v>
      </c>
      <c r="C124" s="35" t="s">
        <v>30</v>
      </c>
      <c r="D124" s="35" t="s">
        <v>31</v>
      </c>
      <c r="E124" s="35" t="s">
        <v>204</v>
      </c>
    </row>
    <row r="125" spans="1:5">
      <c r="A125" s="36" t="s">
        <v>564</v>
      </c>
      <c r="B125" s="3" t="s">
        <v>86</v>
      </c>
      <c r="C125" s="3" t="s">
        <v>386</v>
      </c>
      <c r="D125" s="3" t="s">
        <v>516</v>
      </c>
      <c r="E125" s="5" t="s">
        <v>565</v>
      </c>
    </row>
    <row r="126" spans="1:5">
      <c r="A126" s="36" t="s">
        <v>566</v>
      </c>
      <c r="B126" s="3" t="s">
        <v>86</v>
      </c>
      <c r="C126" s="3" t="s">
        <v>136</v>
      </c>
      <c r="D126" s="3" t="s">
        <v>119</v>
      </c>
      <c r="E126" s="5" t="s">
        <v>567</v>
      </c>
    </row>
    <row r="127" spans="1:5">
      <c r="A127" s="36" t="s">
        <v>568</v>
      </c>
      <c r="B127" s="3" t="s">
        <v>569</v>
      </c>
      <c r="C127" s="3" t="s">
        <v>33</v>
      </c>
      <c r="D127" s="3" t="s">
        <v>491</v>
      </c>
      <c r="E127" s="5" t="s">
        <v>570</v>
      </c>
    </row>
    <row r="128" spans="1:5">
      <c r="A128" s="36" t="s">
        <v>93</v>
      </c>
      <c r="B128" s="3" t="s">
        <v>94</v>
      </c>
      <c r="C128" s="3" t="s">
        <v>95</v>
      </c>
      <c r="D128" s="3" t="s">
        <v>497</v>
      </c>
      <c r="E128" s="5" t="s">
        <v>571</v>
      </c>
    </row>
    <row r="129" spans="1:5">
      <c r="A129" s="36" t="s">
        <v>572</v>
      </c>
      <c r="B129" s="3" t="s">
        <v>569</v>
      </c>
      <c r="C129" s="3" t="s">
        <v>33</v>
      </c>
      <c r="D129" s="3" t="s">
        <v>325</v>
      </c>
      <c r="E129" s="5" t="s">
        <v>573</v>
      </c>
    </row>
    <row r="130" spans="1:5">
      <c r="A130" s="36" t="s">
        <v>574</v>
      </c>
      <c r="B130" s="3" t="s">
        <v>141</v>
      </c>
      <c r="C130" s="3" t="s">
        <v>95</v>
      </c>
      <c r="D130" s="3" t="s">
        <v>322</v>
      </c>
      <c r="E130" s="5" t="s">
        <v>575</v>
      </c>
    </row>
    <row r="131" spans="1:5">
      <c r="A131" s="36" t="s">
        <v>576</v>
      </c>
      <c r="B131" s="3" t="s">
        <v>141</v>
      </c>
      <c r="C131" s="3" t="s">
        <v>136</v>
      </c>
      <c r="D131" s="3" t="s">
        <v>475</v>
      </c>
      <c r="E131" s="5" t="s">
        <v>577</v>
      </c>
    </row>
    <row r="132" spans="1:5">
      <c r="A132" s="36" t="s">
        <v>578</v>
      </c>
      <c r="B132" s="3" t="s">
        <v>94</v>
      </c>
      <c r="C132" s="3" t="s">
        <v>95</v>
      </c>
      <c r="D132" s="3" t="s">
        <v>432</v>
      </c>
      <c r="E132" s="5" t="s">
        <v>579</v>
      </c>
    </row>
    <row r="133" spans="1:5">
      <c r="A133" s="36" t="s">
        <v>580</v>
      </c>
      <c r="B133" s="3" t="s">
        <v>94</v>
      </c>
      <c r="C133" s="3" t="s">
        <v>33</v>
      </c>
      <c r="D133" s="3" t="s">
        <v>187</v>
      </c>
      <c r="E133" s="5" t="s">
        <v>581</v>
      </c>
    </row>
  </sheetData>
  <mergeCells count="22">
    <mergeCell ref="G3:J3"/>
    <mergeCell ref="A5:J5"/>
    <mergeCell ref="A8:J8"/>
    <mergeCell ref="A12:J12"/>
    <mergeCell ref="A15:J15"/>
    <mergeCell ref="A21:J21"/>
    <mergeCell ref="A26:J26"/>
    <mergeCell ref="A33:J33"/>
    <mergeCell ref="A40:J40"/>
    <mergeCell ref="A47:J47"/>
    <mergeCell ref="A53:J53"/>
    <mergeCell ref="A62:J62"/>
    <mergeCell ref="A3:A4"/>
    <mergeCell ref="B3:B4"/>
    <mergeCell ref="C3:C4"/>
    <mergeCell ref="D3:D4"/>
    <mergeCell ref="E3:E4"/>
    <mergeCell ref="F3:F4"/>
    <mergeCell ref="K3:K4"/>
    <mergeCell ref="L3:L4"/>
    <mergeCell ref="M3:M4"/>
    <mergeCell ref="A1:M2"/>
  </mergeCells>
  <pageMargins left="0.7" right="0.7" top="0.75" bottom="0.75" header="0.3" footer="0.3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74"/>
  <sheetViews>
    <sheetView workbookViewId="0">
      <selection activeCell="A1" sqref="A1:Y2"/>
    </sheetView>
  </sheetViews>
  <sheetFormatPr defaultColWidth="9.11111111111111" defaultRowHeight="12.75"/>
  <cols>
    <col min="1" max="1" width="24.8888888888889" style="4" customWidth="1"/>
    <col min="2" max="2" width="26.2222222222222" style="3" customWidth="1"/>
    <col min="3" max="3" width="7.55555555555556" style="3" customWidth="1"/>
    <col min="4" max="4" width="8.77777777777778" style="3" customWidth="1"/>
    <col min="5" max="5" width="17" style="4" customWidth="1"/>
    <col min="6" max="6" width="14.7777777777778" style="4" customWidth="1"/>
    <col min="7" max="9" width="5.55555555555556" style="3" customWidth="1"/>
    <col min="10" max="10" width="4.77777777777778" style="3" customWidth="1"/>
    <col min="11" max="11" width="5.77777777777778" style="5" customWidth="1"/>
    <col min="12" max="12" width="8.55555555555556" style="6" customWidth="1"/>
    <col min="13" max="13" width="14.4444444444444" style="4" customWidth="1"/>
    <col min="14" max="16384" width="9.11111111111111" style="7"/>
  </cols>
  <sheetData>
    <row r="1" s="1" customFormat="1" ht="28.95" customHeight="1" spans="1:13">
      <c r="A1" s="8" t="s">
        <v>582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37"/>
    </row>
    <row r="2" s="1" customFormat="1" ht="61.95" customHeight="1" spans="1:13">
      <c r="A2" s="10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38"/>
    </row>
    <row r="3" s="2" customFormat="1" customHeight="1" spans="1:13">
      <c r="A3" s="12" t="s">
        <v>1</v>
      </c>
      <c r="B3" s="13" t="s">
        <v>2</v>
      </c>
      <c r="C3" s="13" t="s">
        <v>3</v>
      </c>
      <c r="D3" s="14" t="s">
        <v>204</v>
      </c>
      <c r="E3" s="14" t="s">
        <v>5</v>
      </c>
      <c r="F3" s="14" t="s">
        <v>6</v>
      </c>
      <c r="G3" s="14" t="s">
        <v>290</v>
      </c>
      <c r="H3" s="14"/>
      <c r="I3" s="14"/>
      <c r="J3" s="14"/>
      <c r="K3" s="14" t="s">
        <v>8</v>
      </c>
      <c r="L3" s="14" t="s">
        <v>9</v>
      </c>
      <c r="M3" s="39" t="s">
        <v>10</v>
      </c>
    </row>
    <row r="4" s="2" customFormat="1" ht="23.25" customHeight="1" spans="1:13">
      <c r="A4" s="15"/>
      <c r="B4" s="16"/>
      <c r="C4" s="16"/>
      <c r="D4" s="16"/>
      <c r="E4" s="16"/>
      <c r="F4" s="16"/>
      <c r="G4" s="16">
        <v>1</v>
      </c>
      <c r="H4" s="16">
        <v>2</v>
      </c>
      <c r="I4" s="16">
        <v>3</v>
      </c>
      <c r="J4" s="16" t="s">
        <v>11</v>
      </c>
      <c r="K4" s="16"/>
      <c r="L4" s="16"/>
      <c r="M4" s="40"/>
    </row>
    <row r="5" s="3" customFormat="1" ht="15.75" spans="1:13">
      <c r="A5" s="17" t="s">
        <v>292</v>
      </c>
      <c r="B5" s="18"/>
      <c r="C5" s="18"/>
      <c r="D5" s="18"/>
      <c r="E5" s="18"/>
      <c r="F5" s="18"/>
      <c r="G5" s="18"/>
      <c r="H5" s="18"/>
      <c r="I5" s="18"/>
      <c r="J5" s="18"/>
      <c r="K5" s="5"/>
      <c r="L5" s="6"/>
      <c r="M5" s="4"/>
    </row>
    <row r="6" s="3" customFormat="1" spans="1:13">
      <c r="A6" s="19" t="s">
        <v>583</v>
      </c>
      <c r="B6" s="20" t="s">
        <v>584</v>
      </c>
      <c r="C6" s="20" t="s">
        <v>585</v>
      </c>
      <c r="D6" s="20" t="str">
        <f>"0,9731"</f>
        <v>0,9731</v>
      </c>
      <c r="E6" s="19" t="s">
        <v>62</v>
      </c>
      <c r="F6" s="19" t="s">
        <v>40</v>
      </c>
      <c r="G6" s="20" t="s">
        <v>217</v>
      </c>
      <c r="H6" s="20" t="s">
        <v>175</v>
      </c>
      <c r="I6" s="41" t="s">
        <v>303</v>
      </c>
      <c r="J6" s="41"/>
      <c r="K6" s="42" t="str">
        <f>"70,0"</f>
        <v>70,0</v>
      </c>
      <c r="L6" s="43" t="str">
        <f>"68,1170"</f>
        <v>68,1170</v>
      </c>
      <c r="M6" s="19"/>
    </row>
    <row r="7" s="3" customFormat="1" spans="1:13">
      <c r="A7" s="4"/>
      <c r="E7" s="4"/>
      <c r="F7" s="4"/>
      <c r="K7" s="5"/>
      <c r="L7" s="6"/>
      <c r="M7" s="4"/>
    </row>
    <row r="8" ht="15.75" spans="1:10">
      <c r="A8" s="21" t="s">
        <v>270</v>
      </c>
      <c r="B8" s="22"/>
      <c r="C8" s="22"/>
      <c r="D8" s="22"/>
      <c r="E8" s="22"/>
      <c r="F8" s="22"/>
      <c r="G8" s="22"/>
      <c r="H8" s="22"/>
      <c r="I8" s="22"/>
      <c r="J8" s="22"/>
    </row>
    <row r="9" spans="1:13">
      <c r="A9" s="23" t="s">
        <v>393</v>
      </c>
      <c r="B9" s="24" t="s">
        <v>394</v>
      </c>
      <c r="C9" s="24" t="s">
        <v>395</v>
      </c>
      <c r="D9" s="24" t="str">
        <f>"0,9506"</f>
        <v>0,9506</v>
      </c>
      <c r="E9" s="23" t="s">
        <v>62</v>
      </c>
      <c r="F9" s="23" t="s">
        <v>40</v>
      </c>
      <c r="G9" s="24" t="s">
        <v>187</v>
      </c>
      <c r="H9" s="24" t="s">
        <v>297</v>
      </c>
      <c r="I9" s="24" t="s">
        <v>311</v>
      </c>
      <c r="J9" s="49"/>
      <c r="K9" s="44" t="str">
        <f>"112,5"</f>
        <v>112,5</v>
      </c>
      <c r="L9" s="45" t="str">
        <f>"106,9425"</f>
        <v>106,9425</v>
      </c>
      <c r="M9" s="23"/>
    </row>
    <row r="10" spans="1:13">
      <c r="A10" s="25" t="s">
        <v>271</v>
      </c>
      <c r="B10" s="26" t="s">
        <v>272</v>
      </c>
      <c r="C10" s="26" t="s">
        <v>273</v>
      </c>
      <c r="D10" s="26" t="str">
        <f>"0,9405"</f>
        <v>0,9405</v>
      </c>
      <c r="E10" s="25" t="s">
        <v>62</v>
      </c>
      <c r="F10" s="25" t="s">
        <v>40</v>
      </c>
      <c r="G10" s="26" t="s">
        <v>424</v>
      </c>
      <c r="H10" s="26" t="s">
        <v>297</v>
      </c>
      <c r="I10" s="26" t="s">
        <v>298</v>
      </c>
      <c r="J10" s="46"/>
      <c r="K10" s="47" t="str">
        <f>"110,0"</f>
        <v>110,0</v>
      </c>
      <c r="L10" s="48" t="str">
        <f>"103,4550"</f>
        <v>103,4550</v>
      </c>
      <c r="M10" s="25"/>
    </row>
    <row r="12" ht="15.75" spans="1:10">
      <c r="A12" s="21" t="s">
        <v>36</v>
      </c>
      <c r="B12" s="22"/>
      <c r="C12" s="22"/>
      <c r="D12" s="22"/>
      <c r="E12" s="22"/>
      <c r="F12" s="22"/>
      <c r="G12" s="22"/>
      <c r="H12" s="22"/>
      <c r="I12" s="22"/>
      <c r="J12" s="22"/>
    </row>
    <row r="13" spans="1:13">
      <c r="A13" s="19" t="s">
        <v>586</v>
      </c>
      <c r="B13" s="20" t="s">
        <v>587</v>
      </c>
      <c r="C13" s="20" t="s">
        <v>588</v>
      </c>
      <c r="D13" s="20" t="str">
        <f>"0,7898"</f>
        <v>0,7898</v>
      </c>
      <c r="E13" s="19" t="s">
        <v>62</v>
      </c>
      <c r="F13" s="19" t="s">
        <v>40</v>
      </c>
      <c r="G13" s="20" t="s">
        <v>442</v>
      </c>
      <c r="H13" s="20" t="s">
        <v>424</v>
      </c>
      <c r="I13" s="20" t="s">
        <v>310</v>
      </c>
      <c r="J13" s="41"/>
      <c r="K13" s="42" t="str">
        <f>"102,5"</f>
        <v>102,5</v>
      </c>
      <c r="L13" s="43" t="str">
        <f>"80,9545"</f>
        <v>80,9545</v>
      </c>
      <c r="M13" s="19"/>
    </row>
    <row r="15" ht="15.75" spans="1:10">
      <c r="A15" s="21" t="s">
        <v>270</v>
      </c>
      <c r="B15" s="22"/>
      <c r="C15" s="22"/>
      <c r="D15" s="22"/>
      <c r="E15" s="22"/>
      <c r="F15" s="22"/>
      <c r="G15" s="22"/>
      <c r="H15" s="22"/>
      <c r="I15" s="22"/>
      <c r="J15" s="22"/>
    </row>
    <row r="16" spans="1:13">
      <c r="A16" s="19" t="s">
        <v>589</v>
      </c>
      <c r="B16" s="20" t="s">
        <v>590</v>
      </c>
      <c r="C16" s="20" t="s">
        <v>591</v>
      </c>
      <c r="D16" s="20" t="str">
        <f>"0,8748"</f>
        <v>0,8748</v>
      </c>
      <c r="E16" s="19" t="s">
        <v>62</v>
      </c>
      <c r="F16" s="19" t="s">
        <v>40</v>
      </c>
      <c r="G16" s="41" t="s">
        <v>326</v>
      </c>
      <c r="H16" s="20" t="s">
        <v>322</v>
      </c>
      <c r="I16" s="41" t="s">
        <v>592</v>
      </c>
      <c r="J16" s="41"/>
      <c r="K16" s="42" t="str">
        <f>"180,0"</f>
        <v>180,0</v>
      </c>
      <c r="L16" s="43" t="str">
        <f>"157,4640"</f>
        <v>157,4640</v>
      </c>
      <c r="M16" s="19" t="s">
        <v>593</v>
      </c>
    </row>
    <row r="18" ht="15.75" spans="1:10">
      <c r="A18" s="21" t="s">
        <v>36</v>
      </c>
      <c r="B18" s="22"/>
      <c r="C18" s="22"/>
      <c r="D18" s="22"/>
      <c r="E18" s="22"/>
      <c r="F18" s="22"/>
      <c r="G18" s="22"/>
      <c r="H18" s="22"/>
      <c r="I18" s="22"/>
      <c r="J18" s="22"/>
    </row>
    <row r="19" spans="1:13">
      <c r="A19" s="19" t="s">
        <v>594</v>
      </c>
      <c r="B19" s="20" t="s">
        <v>595</v>
      </c>
      <c r="C19" s="20" t="s">
        <v>410</v>
      </c>
      <c r="D19" s="20" t="str">
        <f>"0,7268"</f>
        <v>0,7268</v>
      </c>
      <c r="E19" s="19" t="s">
        <v>62</v>
      </c>
      <c r="F19" s="19" t="s">
        <v>40</v>
      </c>
      <c r="G19" s="20" t="s">
        <v>326</v>
      </c>
      <c r="H19" s="41" t="s">
        <v>69</v>
      </c>
      <c r="I19" s="41"/>
      <c r="J19" s="41"/>
      <c r="K19" s="42" t="str">
        <f>"170,0"</f>
        <v>170,0</v>
      </c>
      <c r="L19" s="43" t="str">
        <f>"123,5560"</f>
        <v>123,5560</v>
      </c>
      <c r="M19" s="19"/>
    </row>
    <row r="21" ht="15.75" spans="1:10">
      <c r="A21" s="21" t="s">
        <v>171</v>
      </c>
      <c r="B21" s="22"/>
      <c r="C21" s="22"/>
      <c r="D21" s="22"/>
      <c r="E21" s="22"/>
      <c r="F21" s="22"/>
      <c r="G21" s="22"/>
      <c r="H21" s="22"/>
      <c r="I21" s="22"/>
      <c r="J21" s="22"/>
    </row>
    <row r="22" spans="1:13">
      <c r="A22" s="19" t="s">
        <v>596</v>
      </c>
      <c r="B22" s="20" t="s">
        <v>597</v>
      </c>
      <c r="C22" s="20" t="s">
        <v>598</v>
      </c>
      <c r="D22" s="20" t="str">
        <f>"0,6767"</f>
        <v>0,6767</v>
      </c>
      <c r="E22" s="19" t="s">
        <v>62</v>
      </c>
      <c r="F22" s="19" t="s">
        <v>599</v>
      </c>
      <c r="G22" s="20" t="s">
        <v>323</v>
      </c>
      <c r="H22" s="41" t="s">
        <v>324</v>
      </c>
      <c r="I22" s="41" t="s">
        <v>324</v>
      </c>
      <c r="J22" s="41"/>
      <c r="K22" s="42" t="str">
        <f>"200,0"</f>
        <v>200,0</v>
      </c>
      <c r="L22" s="43" t="str">
        <f>"135,3400"</f>
        <v>135,3400</v>
      </c>
      <c r="M22" s="19" t="s">
        <v>600</v>
      </c>
    </row>
    <row r="24" ht="15.75" spans="1:10">
      <c r="A24" s="21" t="s">
        <v>50</v>
      </c>
      <c r="B24" s="22"/>
      <c r="C24" s="22"/>
      <c r="D24" s="22"/>
      <c r="E24" s="22"/>
      <c r="F24" s="22"/>
      <c r="G24" s="22"/>
      <c r="H24" s="22"/>
      <c r="I24" s="22"/>
      <c r="J24" s="22"/>
    </row>
    <row r="25" spans="1:13">
      <c r="A25" s="19" t="s">
        <v>601</v>
      </c>
      <c r="B25" s="20" t="s">
        <v>602</v>
      </c>
      <c r="C25" s="20" t="s">
        <v>603</v>
      </c>
      <c r="D25" s="20" t="str">
        <f>"0,6251"</f>
        <v>0,6251</v>
      </c>
      <c r="E25" s="19" t="s">
        <v>62</v>
      </c>
      <c r="F25" s="19" t="s">
        <v>40</v>
      </c>
      <c r="G25" s="20" t="s">
        <v>119</v>
      </c>
      <c r="H25" s="20" t="s">
        <v>120</v>
      </c>
      <c r="I25" s="20" t="s">
        <v>475</v>
      </c>
      <c r="J25" s="41"/>
      <c r="K25" s="42" t="str">
        <f>"162,5"</f>
        <v>162,5</v>
      </c>
      <c r="L25" s="43" t="str">
        <f>"101,5788"</f>
        <v>101,5788</v>
      </c>
      <c r="M25" s="19" t="s">
        <v>604</v>
      </c>
    </row>
    <row r="27" ht="15.75" spans="1:10">
      <c r="A27" s="21" t="s">
        <v>58</v>
      </c>
      <c r="B27" s="22"/>
      <c r="C27" s="22"/>
      <c r="D27" s="22"/>
      <c r="E27" s="22"/>
      <c r="F27" s="22"/>
      <c r="G27" s="22"/>
      <c r="H27" s="22"/>
      <c r="I27" s="22"/>
      <c r="J27" s="22"/>
    </row>
    <row r="28" spans="1:13">
      <c r="A28" s="23" t="s">
        <v>605</v>
      </c>
      <c r="B28" s="24" t="s">
        <v>606</v>
      </c>
      <c r="C28" s="24" t="s">
        <v>458</v>
      </c>
      <c r="D28" s="24" t="str">
        <f>"0,5918"</f>
        <v>0,5918</v>
      </c>
      <c r="E28" s="23" t="s">
        <v>62</v>
      </c>
      <c r="F28" s="23" t="s">
        <v>607</v>
      </c>
      <c r="G28" s="24" t="s">
        <v>326</v>
      </c>
      <c r="H28" s="24" t="s">
        <v>608</v>
      </c>
      <c r="I28" s="49" t="s">
        <v>350</v>
      </c>
      <c r="J28" s="49"/>
      <c r="K28" s="44" t="str">
        <f>"185,0"</f>
        <v>185,0</v>
      </c>
      <c r="L28" s="45" t="str">
        <f>"109,4830"</f>
        <v>109,4830</v>
      </c>
      <c r="M28" s="23"/>
    </row>
    <row r="29" spans="1:13">
      <c r="A29" s="25" t="s">
        <v>609</v>
      </c>
      <c r="B29" s="26" t="s">
        <v>610</v>
      </c>
      <c r="C29" s="26" t="s">
        <v>611</v>
      </c>
      <c r="D29" s="26" t="str">
        <f>"0,5901"</f>
        <v>0,5901</v>
      </c>
      <c r="E29" s="25" t="s">
        <v>62</v>
      </c>
      <c r="F29" s="25" t="s">
        <v>40</v>
      </c>
      <c r="G29" s="26" t="s">
        <v>345</v>
      </c>
      <c r="H29" s="26" t="s">
        <v>54</v>
      </c>
      <c r="I29" s="46" t="s">
        <v>612</v>
      </c>
      <c r="J29" s="46"/>
      <c r="K29" s="47" t="str">
        <f>"240,0"</f>
        <v>240,0</v>
      </c>
      <c r="L29" s="48" t="str">
        <f>"141,6240"</f>
        <v>141,6240</v>
      </c>
      <c r="M29" s="25"/>
    </row>
    <row r="31" ht="15.75" spans="1:10">
      <c r="A31" s="21" t="s">
        <v>104</v>
      </c>
      <c r="B31" s="22"/>
      <c r="C31" s="22"/>
      <c r="D31" s="22"/>
      <c r="E31" s="22"/>
      <c r="F31" s="22"/>
      <c r="G31" s="22"/>
      <c r="H31" s="22"/>
      <c r="I31" s="22"/>
      <c r="J31" s="22"/>
    </row>
    <row r="32" spans="1:13">
      <c r="A32" s="19" t="s">
        <v>613</v>
      </c>
      <c r="B32" s="20" t="s">
        <v>338</v>
      </c>
      <c r="C32" s="20" t="s">
        <v>184</v>
      </c>
      <c r="D32" s="20" t="str">
        <f>"0,5591"</f>
        <v>0,5591</v>
      </c>
      <c r="E32" s="19" t="s">
        <v>315</v>
      </c>
      <c r="F32" s="19" t="s">
        <v>316</v>
      </c>
      <c r="G32" s="20" t="s">
        <v>322</v>
      </c>
      <c r="H32" s="20" t="s">
        <v>65</v>
      </c>
      <c r="I32" s="41" t="s">
        <v>614</v>
      </c>
      <c r="J32" s="41"/>
      <c r="K32" s="42" t="str">
        <f>"220,0"</f>
        <v>220,0</v>
      </c>
      <c r="L32" s="43" t="str">
        <f>"123,0020"</f>
        <v>123,0020</v>
      </c>
      <c r="M32" s="19"/>
    </row>
    <row r="34" ht="15.75" spans="1:10">
      <c r="A34" s="21" t="s">
        <v>351</v>
      </c>
      <c r="B34" s="22"/>
      <c r="C34" s="22"/>
      <c r="D34" s="22"/>
      <c r="E34" s="22"/>
      <c r="F34" s="22"/>
      <c r="G34" s="22"/>
      <c r="H34" s="22"/>
      <c r="I34" s="22"/>
      <c r="J34" s="22"/>
    </row>
    <row r="35" spans="1:13">
      <c r="A35" s="19" t="s">
        <v>352</v>
      </c>
      <c r="B35" s="20" t="s">
        <v>353</v>
      </c>
      <c r="C35" s="20" t="s">
        <v>354</v>
      </c>
      <c r="D35" s="20" t="str">
        <f>"0,5139"</f>
        <v>0,5139</v>
      </c>
      <c r="E35" s="19" t="s">
        <v>315</v>
      </c>
      <c r="F35" s="19" t="s">
        <v>316</v>
      </c>
      <c r="G35" s="20" t="s">
        <v>323</v>
      </c>
      <c r="H35" s="20" t="s">
        <v>65</v>
      </c>
      <c r="I35" s="41"/>
      <c r="J35" s="41"/>
      <c r="K35" s="42" t="str">
        <f>"220,0"</f>
        <v>220,0</v>
      </c>
      <c r="L35" s="43" t="str">
        <f>"113,0580"</f>
        <v>113,0580</v>
      </c>
      <c r="M35" s="19"/>
    </row>
    <row r="37" ht="15.75" spans="5:5">
      <c r="E37" s="29" t="s">
        <v>20</v>
      </c>
    </row>
    <row r="38" ht="15.75" spans="5:5">
      <c r="E38" s="29" t="s">
        <v>21</v>
      </c>
    </row>
    <row r="39" ht="15.75" spans="5:5">
      <c r="E39" s="29" t="s">
        <v>22</v>
      </c>
    </row>
    <row r="40" spans="5:5">
      <c r="E40" s="4" t="s">
        <v>23</v>
      </c>
    </row>
    <row r="41" spans="5:5">
      <c r="E41" s="4" t="s">
        <v>24</v>
      </c>
    </row>
    <row r="42" spans="5:5">
      <c r="E42" s="4" t="s">
        <v>25</v>
      </c>
    </row>
    <row r="45" ht="18.75" spans="1:2">
      <c r="A45" s="30" t="s">
        <v>26</v>
      </c>
      <c r="B45" s="31"/>
    </row>
    <row r="46" ht="15.75" spans="1:2">
      <c r="A46" s="32" t="s">
        <v>80</v>
      </c>
      <c r="B46" s="21"/>
    </row>
    <row r="47" ht="15" spans="1:2">
      <c r="A47" s="33"/>
      <c r="B47" s="34" t="s">
        <v>160</v>
      </c>
    </row>
    <row r="48" ht="14.25" spans="1:5">
      <c r="A48" s="35" t="s">
        <v>1</v>
      </c>
      <c r="B48" s="35" t="s">
        <v>29</v>
      </c>
      <c r="C48" s="35" t="s">
        <v>30</v>
      </c>
      <c r="D48" s="35" t="s">
        <v>31</v>
      </c>
      <c r="E48" s="35" t="s">
        <v>204</v>
      </c>
    </row>
    <row r="49" spans="1:5">
      <c r="A49" s="36" t="s">
        <v>517</v>
      </c>
      <c r="B49" s="3" t="s">
        <v>366</v>
      </c>
      <c r="C49" s="3" t="s">
        <v>281</v>
      </c>
      <c r="D49" s="3" t="s">
        <v>311</v>
      </c>
      <c r="E49" s="5" t="s">
        <v>615</v>
      </c>
    </row>
    <row r="50" spans="1:5">
      <c r="A50" s="36" t="s">
        <v>616</v>
      </c>
      <c r="B50" s="3" t="s">
        <v>370</v>
      </c>
      <c r="C50" s="3" t="s">
        <v>362</v>
      </c>
      <c r="D50" s="3" t="s">
        <v>175</v>
      </c>
      <c r="E50" s="5" t="s">
        <v>617</v>
      </c>
    </row>
    <row r="52" ht="15" spans="1:2">
      <c r="A52" s="33"/>
      <c r="B52" s="34" t="s">
        <v>28</v>
      </c>
    </row>
    <row r="53" ht="14.25" spans="1:5">
      <c r="A53" s="35" t="s">
        <v>1</v>
      </c>
      <c r="B53" s="35" t="s">
        <v>29</v>
      </c>
      <c r="C53" s="35" t="s">
        <v>30</v>
      </c>
      <c r="D53" s="35" t="s">
        <v>31</v>
      </c>
      <c r="E53" s="35" t="s">
        <v>204</v>
      </c>
    </row>
    <row r="54" spans="1:5">
      <c r="A54" s="36" t="s">
        <v>280</v>
      </c>
      <c r="B54" s="3" t="s">
        <v>28</v>
      </c>
      <c r="C54" s="3" t="s">
        <v>281</v>
      </c>
      <c r="D54" s="3" t="s">
        <v>298</v>
      </c>
      <c r="E54" s="5" t="s">
        <v>618</v>
      </c>
    </row>
    <row r="55" spans="1:5">
      <c r="A55" s="36" t="s">
        <v>619</v>
      </c>
      <c r="B55" s="3" t="s">
        <v>28</v>
      </c>
      <c r="C55" s="3" t="s">
        <v>82</v>
      </c>
      <c r="D55" s="3" t="s">
        <v>310</v>
      </c>
      <c r="E55" s="5" t="s">
        <v>620</v>
      </c>
    </row>
    <row r="58" ht="15.75" spans="1:2">
      <c r="A58" s="32" t="s">
        <v>27</v>
      </c>
      <c r="B58" s="21"/>
    </row>
    <row r="59" ht="15" spans="1:2">
      <c r="A59" s="33"/>
      <c r="B59" s="34" t="s">
        <v>160</v>
      </c>
    </row>
    <row r="60" ht="14.25" spans="1:5">
      <c r="A60" s="35" t="s">
        <v>1</v>
      </c>
      <c r="B60" s="35" t="s">
        <v>29</v>
      </c>
      <c r="C60" s="35" t="s">
        <v>30</v>
      </c>
      <c r="D60" s="35" t="s">
        <v>31</v>
      </c>
      <c r="E60" s="35" t="s">
        <v>204</v>
      </c>
    </row>
    <row r="61" spans="1:5">
      <c r="A61" s="36" t="s">
        <v>621</v>
      </c>
      <c r="B61" s="3" t="s">
        <v>622</v>
      </c>
      <c r="C61" s="3" t="s">
        <v>281</v>
      </c>
      <c r="D61" s="3" t="s">
        <v>322</v>
      </c>
      <c r="E61" s="5" t="s">
        <v>623</v>
      </c>
    </row>
    <row r="63" ht="15" spans="1:2">
      <c r="A63" s="33"/>
      <c r="B63" s="34" t="s">
        <v>355</v>
      </c>
    </row>
    <row r="64" ht="14.25" spans="1:5">
      <c r="A64" s="35" t="s">
        <v>1</v>
      </c>
      <c r="B64" s="35" t="s">
        <v>29</v>
      </c>
      <c r="C64" s="35" t="s">
        <v>30</v>
      </c>
      <c r="D64" s="35" t="s">
        <v>31</v>
      </c>
      <c r="E64" s="35" t="s">
        <v>204</v>
      </c>
    </row>
    <row r="65" spans="1:5">
      <c r="A65" s="36" t="s">
        <v>624</v>
      </c>
      <c r="B65" s="3" t="s">
        <v>358</v>
      </c>
      <c r="C65" s="3" t="s">
        <v>196</v>
      </c>
      <c r="D65" s="3" t="s">
        <v>608</v>
      </c>
      <c r="E65" s="5" t="s">
        <v>625</v>
      </c>
    </row>
    <row r="67" ht="15" spans="1:2">
      <c r="A67" s="33"/>
      <c r="B67" s="34" t="s">
        <v>28</v>
      </c>
    </row>
    <row r="68" ht="14.25" spans="1:5">
      <c r="A68" s="35" t="s">
        <v>1</v>
      </c>
      <c r="B68" s="35" t="s">
        <v>29</v>
      </c>
      <c r="C68" s="35" t="s">
        <v>30</v>
      </c>
      <c r="D68" s="35" t="s">
        <v>31</v>
      </c>
      <c r="E68" s="35" t="s">
        <v>204</v>
      </c>
    </row>
    <row r="69" spans="1:5">
      <c r="A69" s="36" t="s">
        <v>626</v>
      </c>
      <c r="B69" s="3" t="s">
        <v>28</v>
      </c>
      <c r="C69" s="3" t="s">
        <v>196</v>
      </c>
      <c r="D69" s="3" t="s">
        <v>54</v>
      </c>
      <c r="E69" s="5" t="s">
        <v>627</v>
      </c>
    </row>
    <row r="70" spans="1:5">
      <c r="A70" s="36" t="s">
        <v>628</v>
      </c>
      <c r="B70" s="3" t="s">
        <v>28</v>
      </c>
      <c r="C70" s="3" t="s">
        <v>190</v>
      </c>
      <c r="D70" s="3" t="s">
        <v>323</v>
      </c>
      <c r="E70" s="5" t="s">
        <v>629</v>
      </c>
    </row>
    <row r="71" spans="1:5">
      <c r="A71" s="36" t="s">
        <v>630</v>
      </c>
      <c r="B71" s="3" t="s">
        <v>28</v>
      </c>
      <c r="C71" s="3" t="s">
        <v>82</v>
      </c>
      <c r="D71" s="3" t="s">
        <v>326</v>
      </c>
      <c r="E71" s="5" t="s">
        <v>631</v>
      </c>
    </row>
    <row r="72" spans="1:5">
      <c r="A72" s="36" t="s">
        <v>556</v>
      </c>
      <c r="B72" s="3" t="s">
        <v>28</v>
      </c>
      <c r="C72" s="3" t="s">
        <v>136</v>
      </c>
      <c r="D72" s="3" t="s">
        <v>65</v>
      </c>
      <c r="E72" s="5" t="s">
        <v>632</v>
      </c>
    </row>
    <row r="73" spans="1:5">
      <c r="A73" s="36" t="s">
        <v>385</v>
      </c>
      <c r="B73" s="3" t="s">
        <v>28</v>
      </c>
      <c r="C73" s="3" t="s">
        <v>386</v>
      </c>
      <c r="D73" s="3" t="s">
        <v>65</v>
      </c>
      <c r="E73" s="5" t="s">
        <v>633</v>
      </c>
    </row>
    <row r="74" spans="1:5">
      <c r="A74" s="36" t="s">
        <v>634</v>
      </c>
      <c r="B74" s="3" t="s">
        <v>28</v>
      </c>
      <c r="C74" s="3" t="s">
        <v>89</v>
      </c>
      <c r="D74" s="3" t="s">
        <v>475</v>
      </c>
      <c r="E74" s="5" t="s">
        <v>635</v>
      </c>
    </row>
  </sheetData>
  <mergeCells count="21">
    <mergeCell ref="G3:J3"/>
    <mergeCell ref="A5:J5"/>
    <mergeCell ref="A8:J8"/>
    <mergeCell ref="A12:J12"/>
    <mergeCell ref="A15:J15"/>
    <mergeCell ref="A18:J18"/>
    <mergeCell ref="A21:J21"/>
    <mergeCell ref="A24:J24"/>
    <mergeCell ref="A27:J27"/>
    <mergeCell ref="A31:J31"/>
    <mergeCell ref="A34:J34"/>
    <mergeCell ref="A3:A4"/>
    <mergeCell ref="B3:B4"/>
    <mergeCell ref="C3:C4"/>
    <mergeCell ref="D3:D4"/>
    <mergeCell ref="E3:E4"/>
    <mergeCell ref="F3:F4"/>
    <mergeCell ref="K3:K4"/>
    <mergeCell ref="L3:L4"/>
    <mergeCell ref="M3:M4"/>
    <mergeCell ref="A1:M2"/>
  </mergeCells>
  <pageMargins left="0.7" right="0.7" top="0.75" bottom="0.75" header="0.3" footer="0.3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29"/>
  <sheetViews>
    <sheetView workbookViewId="0">
      <selection activeCell="A1" sqref="A1:Y2"/>
    </sheetView>
  </sheetViews>
  <sheetFormatPr defaultColWidth="9.11111111111111" defaultRowHeight="12.75"/>
  <cols>
    <col min="1" max="1" width="24.8888888888889" style="4" customWidth="1"/>
    <col min="2" max="2" width="26.5555555555556" style="3" customWidth="1"/>
    <col min="3" max="3" width="7.55555555555556" style="3" customWidth="1"/>
    <col min="4" max="4" width="8.77777777777778" style="3" customWidth="1"/>
    <col min="5" max="5" width="17" style="4" customWidth="1"/>
    <col min="6" max="6" width="15.7777777777778" style="4" customWidth="1"/>
    <col min="7" max="9" width="5.55555555555556" style="3" customWidth="1"/>
    <col min="10" max="10" width="4.77777777777778" style="3" customWidth="1"/>
    <col min="11" max="13" width="5.55555555555556" style="3" customWidth="1"/>
    <col min="14" max="14" width="4.77777777777778" style="3" customWidth="1"/>
    <col min="15" max="17" width="5.55555555555556" style="3" customWidth="1"/>
    <col min="18" max="18" width="4.77777777777778" style="3" customWidth="1"/>
    <col min="19" max="19" width="5.77777777777778" style="5" customWidth="1"/>
    <col min="20" max="20" width="8.55555555555556" style="6" customWidth="1"/>
    <col min="21" max="21" width="7.11111111111111" style="4" customWidth="1"/>
    <col min="22" max="16384" width="9.11111111111111" style="7"/>
  </cols>
  <sheetData>
    <row r="1" s="1" customFormat="1" ht="28.95" customHeight="1" spans="1:21">
      <c r="A1" s="8" t="s">
        <v>636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37"/>
    </row>
    <row r="2" s="1" customFormat="1" ht="61.95" customHeight="1" spans="1:21">
      <c r="A2" s="10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38"/>
    </row>
    <row r="3" s="2" customFormat="1" customHeight="1" spans="1:21">
      <c r="A3" s="12" t="s">
        <v>1</v>
      </c>
      <c r="B3" s="13" t="s">
        <v>2</v>
      </c>
      <c r="C3" s="13" t="s">
        <v>3</v>
      </c>
      <c r="D3" s="14" t="s">
        <v>204</v>
      </c>
      <c r="E3" s="14" t="s">
        <v>5</v>
      </c>
      <c r="F3" s="14" t="s">
        <v>6</v>
      </c>
      <c r="G3" s="14" t="s">
        <v>289</v>
      </c>
      <c r="H3" s="14"/>
      <c r="I3" s="14"/>
      <c r="J3" s="14"/>
      <c r="K3" s="14" t="s">
        <v>7</v>
      </c>
      <c r="L3" s="14"/>
      <c r="M3" s="14"/>
      <c r="N3" s="14"/>
      <c r="O3" s="14" t="s">
        <v>290</v>
      </c>
      <c r="P3" s="14"/>
      <c r="Q3" s="14"/>
      <c r="R3" s="14"/>
      <c r="S3" s="14" t="s">
        <v>291</v>
      </c>
      <c r="T3" s="14" t="s">
        <v>9</v>
      </c>
      <c r="U3" s="39" t="s">
        <v>10</v>
      </c>
    </row>
    <row r="4" s="2" customFormat="1" ht="23.25" customHeight="1" spans="1:21">
      <c r="A4" s="15"/>
      <c r="B4" s="16"/>
      <c r="C4" s="16"/>
      <c r="D4" s="16"/>
      <c r="E4" s="16"/>
      <c r="F4" s="16"/>
      <c r="G4" s="16">
        <v>1</v>
      </c>
      <c r="H4" s="16">
        <v>2</v>
      </c>
      <c r="I4" s="16">
        <v>3</v>
      </c>
      <c r="J4" s="16" t="s">
        <v>11</v>
      </c>
      <c r="K4" s="16">
        <v>1</v>
      </c>
      <c r="L4" s="16">
        <v>2</v>
      </c>
      <c r="M4" s="16">
        <v>3</v>
      </c>
      <c r="N4" s="16" t="s">
        <v>11</v>
      </c>
      <c r="O4" s="16">
        <v>1</v>
      </c>
      <c r="P4" s="16">
        <v>2</v>
      </c>
      <c r="Q4" s="16">
        <v>3</v>
      </c>
      <c r="R4" s="16" t="s">
        <v>11</v>
      </c>
      <c r="S4" s="16"/>
      <c r="T4" s="16"/>
      <c r="U4" s="40"/>
    </row>
    <row r="5" s="3" customFormat="1" ht="15.75" spans="1:21">
      <c r="A5" s="17" t="s">
        <v>104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5"/>
      <c r="T5" s="6"/>
      <c r="U5" s="4"/>
    </row>
    <row r="6" s="3" customFormat="1" spans="1:21">
      <c r="A6" s="23" t="s">
        <v>637</v>
      </c>
      <c r="B6" s="24" t="s">
        <v>638</v>
      </c>
      <c r="C6" s="24" t="s">
        <v>639</v>
      </c>
      <c r="D6" s="24" t="str">
        <f>"0,5560"</f>
        <v>0,5560</v>
      </c>
      <c r="E6" s="23" t="s">
        <v>62</v>
      </c>
      <c r="F6" s="23" t="s">
        <v>640</v>
      </c>
      <c r="G6" s="24" t="s">
        <v>65</v>
      </c>
      <c r="H6" s="24" t="s">
        <v>54</v>
      </c>
      <c r="I6" s="24" t="s">
        <v>114</v>
      </c>
      <c r="J6" s="49"/>
      <c r="K6" s="24" t="s">
        <v>343</v>
      </c>
      <c r="L6" s="24" t="s">
        <v>330</v>
      </c>
      <c r="M6" s="24" t="s">
        <v>641</v>
      </c>
      <c r="N6" s="49"/>
      <c r="O6" s="24" t="s">
        <v>54</v>
      </c>
      <c r="P6" s="24" t="s">
        <v>101</v>
      </c>
      <c r="Q6" s="24" t="s">
        <v>103</v>
      </c>
      <c r="R6" s="49"/>
      <c r="S6" s="44" t="str">
        <f>"702,5"</f>
        <v>702,5</v>
      </c>
      <c r="T6" s="45" t="str">
        <f>"391,7618"</f>
        <v>391,7618</v>
      </c>
      <c r="U6" s="23"/>
    </row>
    <row r="7" s="3" customFormat="1" spans="1:21">
      <c r="A7" s="25" t="s">
        <v>115</v>
      </c>
      <c r="B7" s="26" t="s">
        <v>116</v>
      </c>
      <c r="C7" s="26" t="s">
        <v>117</v>
      </c>
      <c r="D7" s="26" t="str">
        <f>"0,5540"</f>
        <v>0,5540</v>
      </c>
      <c r="E7" s="25" t="s">
        <v>62</v>
      </c>
      <c r="F7" s="25" t="s">
        <v>118</v>
      </c>
      <c r="G7" s="26" t="s">
        <v>608</v>
      </c>
      <c r="H7" s="26" t="s">
        <v>323</v>
      </c>
      <c r="I7" s="26" t="s">
        <v>324</v>
      </c>
      <c r="J7" s="46"/>
      <c r="K7" s="26" t="s">
        <v>297</v>
      </c>
      <c r="L7" s="26" t="s">
        <v>311</v>
      </c>
      <c r="M7" s="26" t="s">
        <v>309</v>
      </c>
      <c r="N7" s="46"/>
      <c r="O7" s="26" t="s">
        <v>350</v>
      </c>
      <c r="P7" s="26" t="s">
        <v>64</v>
      </c>
      <c r="Q7" s="26" t="s">
        <v>71</v>
      </c>
      <c r="R7" s="46"/>
      <c r="S7" s="47" t="str">
        <f>"552,5"</f>
        <v>552,5</v>
      </c>
      <c r="T7" s="48" t="str">
        <f>"570,8485"</f>
        <v>570,8485</v>
      </c>
      <c r="U7" s="25"/>
    </row>
    <row r="9" ht="15.75" spans="1:18">
      <c r="A9" s="21" t="s">
        <v>12</v>
      </c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</row>
    <row r="10" spans="1:21">
      <c r="A10" s="19" t="s">
        <v>642</v>
      </c>
      <c r="B10" s="20" t="s">
        <v>643</v>
      </c>
      <c r="C10" s="20" t="s">
        <v>644</v>
      </c>
      <c r="D10" s="20" t="str">
        <f>"0,5392"</f>
        <v>0,5392</v>
      </c>
      <c r="E10" s="19" t="s">
        <v>62</v>
      </c>
      <c r="F10" s="19" t="s">
        <v>40</v>
      </c>
      <c r="G10" s="20" t="s">
        <v>345</v>
      </c>
      <c r="H10" s="20" t="s">
        <v>614</v>
      </c>
      <c r="I10" s="20" t="s">
        <v>101</v>
      </c>
      <c r="J10" s="41"/>
      <c r="K10" s="20" t="s">
        <v>49</v>
      </c>
      <c r="L10" s="20" t="s">
        <v>454</v>
      </c>
      <c r="M10" s="20" t="s">
        <v>475</v>
      </c>
      <c r="N10" s="41"/>
      <c r="O10" s="20" t="s">
        <v>114</v>
      </c>
      <c r="P10" s="20" t="s">
        <v>102</v>
      </c>
      <c r="Q10" s="41" t="s">
        <v>77</v>
      </c>
      <c r="R10" s="41"/>
      <c r="S10" s="42" t="str">
        <f>"682,5"</f>
        <v>682,5</v>
      </c>
      <c r="T10" s="43" t="str">
        <f>"368,0040"</f>
        <v>368,0040</v>
      </c>
      <c r="U10" s="19"/>
    </row>
    <row r="12" ht="15.75" spans="5:5">
      <c r="E12" s="29" t="s">
        <v>20</v>
      </c>
    </row>
    <row r="13" ht="15.75" spans="5:5">
      <c r="E13" s="29" t="s">
        <v>21</v>
      </c>
    </row>
    <row r="14" ht="15.75" spans="5:5">
      <c r="E14" s="29" t="s">
        <v>22</v>
      </c>
    </row>
    <row r="15" spans="5:5">
      <c r="E15" s="4" t="s">
        <v>23</v>
      </c>
    </row>
    <row r="16" spans="5:5">
      <c r="E16" s="4" t="s">
        <v>24</v>
      </c>
    </row>
    <row r="17" spans="5:5">
      <c r="E17" s="4" t="s">
        <v>25</v>
      </c>
    </row>
    <row r="20" ht="18.75" spans="1:2">
      <c r="A20" s="30" t="s">
        <v>26</v>
      </c>
      <c r="B20" s="31"/>
    </row>
    <row r="21" ht="15.75" spans="1:2">
      <c r="A21" s="32" t="s">
        <v>27</v>
      </c>
      <c r="B21" s="21"/>
    </row>
    <row r="22" ht="15" spans="1:2">
      <c r="A22" s="33"/>
      <c r="B22" s="34" t="s">
        <v>28</v>
      </c>
    </row>
    <row r="23" ht="14.25" spans="1:5">
      <c r="A23" s="35" t="s">
        <v>1</v>
      </c>
      <c r="B23" s="35" t="s">
        <v>29</v>
      </c>
      <c r="C23" s="35" t="s">
        <v>30</v>
      </c>
      <c r="D23" s="35" t="s">
        <v>356</v>
      </c>
      <c r="E23" s="35" t="s">
        <v>204</v>
      </c>
    </row>
    <row r="24" spans="1:5">
      <c r="A24" s="36" t="s">
        <v>645</v>
      </c>
      <c r="B24" s="3" t="s">
        <v>28</v>
      </c>
      <c r="C24" s="3" t="s">
        <v>33</v>
      </c>
      <c r="D24" s="3" t="s">
        <v>646</v>
      </c>
      <c r="E24" s="5" t="s">
        <v>647</v>
      </c>
    </row>
    <row r="26" ht="15" spans="1:2">
      <c r="A26" s="33"/>
      <c r="B26" s="34" t="s">
        <v>84</v>
      </c>
    </row>
    <row r="27" ht="14.25" spans="1:5">
      <c r="A27" s="35" t="s">
        <v>1</v>
      </c>
      <c r="B27" s="35" t="s">
        <v>29</v>
      </c>
      <c r="C27" s="35" t="s">
        <v>30</v>
      </c>
      <c r="D27" s="35" t="s">
        <v>356</v>
      </c>
      <c r="E27" s="35" t="s">
        <v>204</v>
      </c>
    </row>
    <row r="28" spans="1:5">
      <c r="A28" s="36" t="s">
        <v>145</v>
      </c>
      <c r="B28" s="3" t="s">
        <v>146</v>
      </c>
      <c r="C28" s="3" t="s">
        <v>136</v>
      </c>
      <c r="D28" s="3" t="s">
        <v>648</v>
      </c>
      <c r="E28" s="5" t="s">
        <v>649</v>
      </c>
    </row>
    <row r="29" spans="1:5">
      <c r="A29" s="36" t="s">
        <v>650</v>
      </c>
      <c r="B29" s="3" t="s">
        <v>141</v>
      </c>
      <c r="C29" s="3" t="s">
        <v>136</v>
      </c>
      <c r="D29" s="3" t="s">
        <v>651</v>
      </c>
      <c r="E29" s="5" t="s">
        <v>652</v>
      </c>
    </row>
  </sheetData>
  <mergeCells count="15">
    <mergeCell ref="G3:J3"/>
    <mergeCell ref="K3:N3"/>
    <mergeCell ref="O3:R3"/>
    <mergeCell ref="A5:R5"/>
    <mergeCell ref="A9:R9"/>
    <mergeCell ref="A3:A4"/>
    <mergeCell ref="B3:B4"/>
    <mergeCell ref="C3:C4"/>
    <mergeCell ref="D3:D4"/>
    <mergeCell ref="E3:E4"/>
    <mergeCell ref="F3:F4"/>
    <mergeCell ref="S3:S4"/>
    <mergeCell ref="T3:T4"/>
    <mergeCell ref="U3:U4"/>
    <mergeCell ref="A1:U2"/>
  </mergeCells>
  <pageMargins left="0.7" right="0.7" top="0.75" bottom="0.75" header="0.3" footer="0.3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0"/>
  <sheetViews>
    <sheetView workbookViewId="0">
      <selection activeCell="A1" sqref="A1:Y2"/>
    </sheetView>
  </sheetViews>
  <sheetFormatPr defaultColWidth="9.11111111111111" defaultRowHeight="12.75"/>
  <cols>
    <col min="1" max="1" width="24.8888888888889" style="4" customWidth="1"/>
    <col min="2" max="2" width="26.5555555555556" style="3" customWidth="1"/>
    <col min="3" max="3" width="7.55555555555556" style="3" customWidth="1"/>
    <col min="4" max="4" width="8.77777777777778" style="3" customWidth="1"/>
    <col min="5" max="5" width="17" style="4" customWidth="1"/>
    <col min="6" max="6" width="16.7777777777778" style="4" customWidth="1"/>
    <col min="7" max="9" width="5.55555555555556" style="3" customWidth="1"/>
    <col min="10" max="10" width="4.77777777777778" style="3" customWidth="1"/>
    <col min="11" max="11" width="5.77777777777778" style="5" customWidth="1"/>
    <col min="12" max="12" width="7.55555555555556" style="6" customWidth="1"/>
    <col min="13" max="13" width="7.11111111111111" style="4" customWidth="1"/>
    <col min="14" max="16384" width="9.11111111111111" style="7"/>
  </cols>
  <sheetData>
    <row r="1" s="1" customFormat="1" ht="28.95" customHeight="1" spans="1:13">
      <c r="A1" s="8" t="s">
        <v>653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37"/>
    </row>
    <row r="2" s="1" customFormat="1" ht="61.95" customHeight="1" spans="1:13">
      <c r="A2" s="10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38"/>
    </row>
    <row r="3" s="2" customFormat="1" customHeight="1" spans="1:13">
      <c r="A3" s="12" t="s">
        <v>1</v>
      </c>
      <c r="B3" s="13" t="s">
        <v>2</v>
      </c>
      <c r="C3" s="13" t="s">
        <v>3</v>
      </c>
      <c r="D3" s="14" t="s">
        <v>204</v>
      </c>
      <c r="E3" s="14" t="s">
        <v>5</v>
      </c>
      <c r="F3" s="14" t="s">
        <v>6</v>
      </c>
      <c r="G3" s="14" t="s">
        <v>7</v>
      </c>
      <c r="H3" s="14"/>
      <c r="I3" s="14"/>
      <c r="J3" s="14"/>
      <c r="K3" s="14" t="s">
        <v>8</v>
      </c>
      <c r="L3" s="14" t="s">
        <v>9</v>
      </c>
      <c r="M3" s="39" t="s">
        <v>10</v>
      </c>
    </row>
    <row r="4" s="2" customFormat="1" ht="23.25" customHeight="1" spans="1:13">
      <c r="A4" s="15"/>
      <c r="B4" s="16"/>
      <c r="C4" s="16"/>
      <c r="D4" s="16"/>
      <c r="E4" s="16"/>
      <c r="F4" s="16"/>
      <c r="G4" s="16">
        <v>1</v>
      </c>
      <c r="H4" s="16">
        <v>2</v>
      </c>
      <c r="I4" s="16">
        <v>3</v>
      </c>
      <c r="J4" s="16" t="s">
        <v>11</v>
      </c>
      <c r="K4" s="16"/>
      <c r="L4" s="16"/>
      <c r="M4" s="40"/>
    </row>
    <row r="5" s="3" customFormat="1" ht="15.75" spans="1:13">
      <c r="A5" s="17" t="s">
        <v>12</v>
      </c>
      <c r="B5" s="18"/>
      <c r="C5" s="18"/>
      <c r="D5" s="18"/>
      <c r="E5" s="18"/>
      <c r="F5" s="18"/>
      <c r="G5" s="18"/>
      <c r="H5" s="18"/>
      <c r="I5" s="18"/>
      <c r="J5" s="18"/>
      <c r="K5" s="5"/>
      <c r="L5" s="6"/>
      <c r="M5" s="4"/>
    </row>
    <row r="6" s="3" customFormat="1" spans="1:13">
      <c r="A6" s="19" t="s">
        <v>654</v>
      </c>
      <c r="B6" s="20" t="s">
        <v>655</v>
      </c>
      <c r="C6" s="20" t="s">
        <v>483</v>
      </c>
      <c r="D6" s="20" t="str">
        <f>"0,5389"</f>
        <v>0,5389</v>
      </c>
      <c r="E6" s="19" t="s">
        <v>62</v>
      </c>
      <c r="F6" s="19" t="s">
        <v>656</v>
      </c>
      <c r="G6" s="20" t="s">
        <v>41</v>
      </c>
      <c r="H6" s="20" t="s">
        <v>42</v>
      </c>
      <c r="I6" s="41" t="s">
        <v>49</v>
      </c>
      <c r="J6" s="41"/>
      <c r="K6" s="42" t="str">
        <f>"135,0"</f>
        <v>135,0</v>
      </c>
      <c r="L6" s="43" t="str">
        <f>"87,5928"</f>
        <v>87,5928</v>
      </c>
      <c r="M6" s="19"/>
    </row>
    <row r="7" s="3" customFormat="1" spans="1:13">
      <c r="A7" s="4"/>
      <c r="E7" s="4"/>
      <c r="F7" s="4"/>
      <c r="K7" s="5"/>
      <c r="L7" s="6"/>
      <c r="M7" s="4"/>
    </row>
    <row r="8" ht="15.75" spans="5:5">
      <c r="E8" s="29" t="s">
        <v>20</v>
      </c>
    </row>
    <row r="9" ht="15.75" spans="5:5">
      <c r="E9" s="29" t="s">
        <v>21</v>
      </c>
    </row>
    <row r="10" ht="15.75" spans="5:5">
      <c r="E10" s="29" t="s">
        <v>22</v>
      </c>
    </row>
    <row r="11" spans="5:5">
      <c r="E11" s="4" t="s">
        <v>23</v>
      </c>
    </row>
    <row r="12" spans="5:5">
      <c r="E12" s="4" t="s">
        <v>24</v>
      </c>
    </row>
    <row r="13" spans="5:5">
      <c r="E13" s="4" t="s">
        <v>25</v>
      </c>
    </row>
    <row r="16" ht="18.75" spans="1:2">
      <c r="A16" s="30" t="s">
        <v>26</v>
      </c>
      <c r="B16" s="31"/>
    </row>
    <row r="17" ht="15.75" spans="1:2">
      <c r="A17" s="32" t="s">
        <v>27</v>
      </c>
      <c r="B17" s="21"/>
    </row>
    <row r="18" ht="15" spans="1:2">
      <c r="A18" s="33"/>
      <c r="B18" s="34" t="s">
        <v>84</v>
      </c>
    </row>
    <row r="19" ht="14.25" spans="1:5">
      <c r="A19" s="35" t="s">
        <v>1</v>
      </c>
      <c r="B19" s="35" t="s">
        <v>29</v>
      </c>
      <c r="C19" s="35" t="s">
        <v>30</v>
      </c>
      <c r="D19" s="35" t="s">
        <v>31</v>
      </c>
      <c r="E19" s="35" t="s">
        <v>204</v>
      </c>
    </row>
    <row r="20" spans="1:5">
      <c r="A20" s="36" t="s">
        <v>657</v>
      </c>
      <c r="B20" s="3" t="s">
        <v>569</v>
      </c>
      <c r="C20" s="3" t="s">
        <v>33</v>
      </c>
      <c r="D20" s="3" t="s">
        <v>42</v>
      </c>
      <c r="E20" s="5" t="s">
        <v>658</v>
      </c>
    </row>
  </sheetData>
  <mergeCells count="12">
    <mergeCell ref="G3:J3"/>
    <mergeCell ref="A5:J5"/>
    <mergeCell ref="A3:A4"/>
    <mergeCell ref="B3:B4"/>
    <mergeCell ref="C3:C4"/>
    <mergeCell ref="D3:D4"/>
    <mergeCell ref="E3:E4"/>
    <mergeCell ref="F3:F4"/>
    <mergeCell ref="K3:K4"/>
    <mergeCell ref="L3:L4"/>
    <mergeCell ref="M3:M4"/>
    <mergeCell ref="A1:M2"/>
  </mergeCells>
  <pageMargins left="0.7" right="0.7" top="0.75" bottom="0.75" header="0.3" footer="0.3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0"/>
  <sheetViews>
    <sheetView workbookViewId="0">
      <selection activeCell="A1" sqref="A1:Y2"/>
    </sheetView>
  </sheetViews>
  <sheetFormatPr defaultColWidth="9.11111111111111" defaultRowHeight="12.75"/>
  <cols>
    <col min="1" max="1" width="24.8888888888889" style="4" customWidth="1"/>
    <col min="2" max="2" width="19.1111111111111" style="3" customWidth="1"/>
    <col min="3" max="3" width="7.55555555555556" style="3" customWidth="1"/>
    <col min="4" max="4" width="8.77777777777778" style="3" customWidth="1"/>
    <col min="5" max="5" width="17" style="4" customWidth="1"/>
    <col min="6" max="6" width="15.7777777777778" style="4" customWidth="1"/>
    <col min="7" max="9" width="5.55555555555556" style="3" customWidth="1"/>
    <col min="10" max="10" width="4.77777777777778" style="3" customWidth="1"/>
    <col min="11" max="11" width="5.77777777777778" style="5" customWidth="1"/>
    <col min="12" max="12" width="7.55555555555556" style="6" customWidth="1"/>
    <col min="13" max="13" width="7.11111111111111" style="4" customWidth="1"/>
    <col min="14" max="16384" width="9.11111111111111" style="7"/>
  </cols>
  <sheetData>
    <row r="1" s="1" customFormat="1" ht="28.95" customHeight="1" spans="1:13">
      <c r="A1" s="8" t="s">
        <v>659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37"/>
    </row>
    <row r="2" s="1" customFormat="1" ht="61.95" customHeight="1" spans="1:13">
      <c r="A2" s="10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38"/>
    </row>
    <row r="3" s="2" customFormat="1" customHeight="1" spans="1:13">
      <c r="A3" s="12" t="s">
        <v>1</v>
      </c>
      <c r="B3" s="13" t="s">
        <v>2</v>
      </c>
      <c r="C3" s="13" t="s">
        <v>3</v>
      </c>
      <c r="D3" s="14" t="s">
        <v>204</v>
      </c>
      <c r="E3" s="14" t="s">
        <v>5</v>
      </c>
      <c r="F3" s="14" t="s">
        <v>6</v>
      </c>
      <c r="G3" s="14" t="s">
        <v>7</v>
      </c>
      <c r="H3" s="14"/>
      <c r="I3" s="14"/>
      <c r="J3" s="14"/>
      <c r="K3" s="14" t="s">
        <v>8</v>
      </c>
      <c r="L3" s="14" t="s">
        <v>9</v>
      </c>
      <c r="M3" s="39" t="s">
        <v>10</v>
      </c>
    </row>
    <row r="4" s="2" customFormat="1" ht="23.25" customHeight="1" spans="1:13">
      <c r="A4" s="15"/>
      <c r="B4" s="16"/>
      <c r="C4" s="16"/>
      <c r="D4" s="16"/>
      <c r="E4" s="16"/>
      <c r="F4" s="16"/>
      <c r="G4" s="16">
        <v>1</v>
      </c>
      <c r="H4" s="16">
        <v>2</v>
      </c>
      <c r="I4" s="16">
        <v>3</v>
      </c>
      <c r="J4" s="16" t="s">
        <v>11</v>
      </c>
      <c r="K4" s="16"/>
      <c r="L4" s="16"/>
      <c r="M4" s="40"/>
    </row>
    <row r="5" s="3" customFormat="1" ht="15.75" spans="1:13">
      <c r="A5" s="17" t="s">
        <v>12</v>
      </c>
      <c r="B5" s="18"/>
      <c r="C5" s="18"/>
      <c r="D5" s="18"/>
      <c r="E5" s="18"/>
      <c r="F5" s="18"/>
      <c r="G5" s="18"/>
      <c r="H5" s="18"/>
      <c r="I5" s="18"/>
      <c r="J5" s="18"/>
      <c r="K5" s="5"/>
      <c r="L5" s="6"/>
      <c r="M5" s="4"/>
    </row>
    <row r="6" s="3" customFormat="1" spans="1:13">
      <c r="A6" s="19" t="s">
        <v>660</v>
      </c>
      <c r="B6" s="20" t="s">
        <v>661</v>
      </c>
      <c r="C6" s="20" t="s">
        <v>490</v>
      </c>
      <c r="D6" s="20" t="str">
        <f>"0,5495"</f>
        <v>0,5495</v>
      </c>
      <c r="E6" s="19" t="s">
        <v>62</v>
      </c>
      <c r="F6" s="19" t="s">
        <v>640</v>
      </c>
      <c r="G6" s="20" t="s">
        <v>326</v>
      </c>
      <c r="H6" s="20" t="s">
        <v>322</v>
      </c>
      <c r="I6" s="41" t="s">
        <v>69</v>
      </c>
      <c r="J6" s="41"/>
      <c r="K6" s="42" t="str">
        <f>"180,0"</f>
        <v>180,0</v>
      </c>
      <c r="L6" s="43" t="str">
        <f>"98,9100"</f>
        <v>98,9100</v>
      </c>
      <c r="M6" s="19"/>
    </row>
    <row r="7" s="3" customFormat="1" spans="1:13">
      <c r="A7" s="4"/>
      <c r="E7" s="4"/>
      <c r="F7" s="4"/>
      <c r="K7" s="5"/>
      <c r="L7" s="6"/>
      <c r="M7" s="4"/>
    </row>
    <row r="8" ht="15.75" spans="5:5">
      <c r="E8" s="29" t="s">
        <v>20</v>
      </c>
    </row>
    <row r="9" ht="15.75" spans="5:5">
      <c r="E9" s="29" t="s">
        <v>21</v>
      </c>
    </row>
    <row r="10" ht="15.75" spans="5:5">
      <c r="E10" s="29" t="s">
        <v>22</v>
      </c>
    </row>
    <row r="11" spans="5:5">
      <c r="E11" s="4" t="s">
        <v>23</v>
      </c>
    </row>
    <row r="12" spans="5:5">
      <c r="E12" s="4" t="s">
        <v>24</v>
      </c>
    </row>
    <row r="13" spans="5:5">
      <c r="E13" s="4" t="s">
        <v>25</v>
      </c>
    </row>
    <row r="16" ht="18.75" spans="1:2">
      <c r="A16" s="30" t="s">
        <v>26</v>
      </c>
      <c r="B16" s="31"/>
    </row>
    <row r="17" ht="15.75" spans="1:2">
      <c r="A17" s="32" t="s">
        <v>27</v>
      </c>
      <c r="B17" s="21"/>
    </row>
    <row r="18" ht="15" spans="1:2">
      <c r="A18" s="33"/>
      <c r="B18" s="34" t="s">
        <v>28</v>
      </c>
    </row>
    <row r="19" ht="14.25" spans="1:5">
      <c r="A19" s="35" t="s">
        <v>1</v>
      </c>
      <c r="B19" s="35" t="s">
        <v>29</v>
      </c>
      <c r="C19" s="35" t="s">
        <v>30</v>
      </c>
      <c r="D19" s="35" t="s">
        <v>31</v>
      </c>
      <c r="E19" s="35" t="s">
        <v>204</v>
      </c>
    </row>
    <row r="20" spans="1:5">
      <c r="A20" s="36" t="s">
        <v>662</v>
      </c>
      <c r="B20" s="3" t="s">
        <v>28</v>
      </c>
      <c r="C20" s="3" t="s">
        <v>33</v>
      </c>
      <c r="D20" s="3" t="s">
        <v>322</v>
      </c>
      <c r="E20" s="5" t="s">
        <v>663</v>
      </c>
    </row>
  </sheetData>
  <mergeCells count="12">
    <mergeCell ref="G3:J3"/>
    <mergeCell ref="A5:J5"/>
    <mergeCell ref="A3:A4"/>
    <mergeCell ref="B3:B4"/>
    <mergeCell ref="C3:C4"/>
    <mergeCell ref="D3:D4"/>
    <mergeCell ref="E3:E4"/>
    <mergeCell ref="F3:F4"/>
    <mergeCell ref="K3:K4"/>
    <mergeCell ref="L3:L4"/>
    <mergeCell ref="M3:M4"/>
    <mergeCell ref="A1:M2"/>
  </mergeCells>
  <pageMargins left="0.7" right="0.7" top="0.75" bottom="0.75" header="0.3" footer="0.3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42"/>
  <sheetViews>
    <sheetView workbookViewId="0">
      <selection activeCell="A1" sqref="A1:Y2"/>
    </sheetView>
  </sheetViews>
  <sheetFormatPr defaultColWidth="9.11111111111111" defaultRowHeight="12.75"/>
  <cols>
    <col min="1" max="1" width="24.8888888888889" style="4" customWidth="1"/>
    <col min="2" max="2" width="26.5555555555556" style="3" customWidth="1"/>
    <col min="3" max="3" width="7.55555555555556" style="3" customWidth="1"/>
    <col min="4" max="4" width="8.77777777777778" style="3" customWidth="1"/>
    <col min="5" max="5" width="17" style="4" customWidth="1"/>
    <col min="6" max="6" width="16.7777777777778" style="4" customWidth="1"/>
    <col min="7" max="9" width="5.55555555555556" style="3" customWidth="1"/>
    <col min="10" max="10" width="4.77777777777778" style="3" customWidth="1"/>
    <col min="11" max="11" width="5.77777777777778" style="5" customWidth="1"/>
    <col min="12" max="12" width="8.55555555555556" style="6" customWidth="1"/>
    <col min="13" max="13" width="7.11111111111111" style="4" customWidth="1"/>
    <col min="14" max="16384" width="9.11111111111111" style="7"/>
  </cols>
  <sheetData>
    <row r="1" s="1" customFormat="1" ht="28.95" customHeight="1" spans="1:13">
      <c r="A1" s="8" t="s">
        <v>664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37"/>
    </row>
    <row r="2" s="1" customFormat="1" ht="61.95" customHeight="1" spans="1:13">
      <c r="A2" s="10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38"/>
    </row>
    <row r="3" s="2" customFormat="1" customHeight="1" spans="1:13">
      <c r="A3" s="12" t="s">
        <v>1</v>
      </c>
      <c r="B3" s="13" t="s">
        <v>2</v>
      </c>
      <c r="C3" s="13" t="s">
        <v>3</v>
      </c>
      <c r="D3" s="14" t="s">
        <v>204</v>
      </c>
      <c r="E3" s="14" t="s">
        <v>5</v>
      </c>
      <c r="F3" s="14" t="s">
        <v>6</v>
      </c>
      <c r="G3" s="14" t="s">
        <v>7</v>
      </c>
      <c r="H3" s="14"/>
      <c r="I3" s="14"/>
      <c r="J3" s="14"/>
      <c r="K3" s="14" t="s">
        <v>8</v>
      </c>
      <c r="L3" s="14" t="s">
        <v>9</v>
      </c>
      <c r="M3" s="39" t="s">
        <v>10</v>
      </c>
    </row>
    <row r="4" s="2" customFormat="1" ht="23.25" customHeight="1" spans="1:13">
      <c r="A4" s="15"/>
      <c r="B4" s="16"/>
      <c r="C4" s="16"/>
      <c r="D4" s="16"/>
      <c r="E4" s="16"/>
      <c r="F4" s="16"/>
      <c r="G4" s="16">
        <v>1</v>
      </c>
      <c r="H4" s="16">
        <v>2</v>
      </c>
      <c r="I4" s="16">
        <v>3</v>
      </c>
      <c r="J4" s="16" t="s">
        <v>11</v>
      </c>
      <c r="K4" s="16"/>
      <c r="L4" s="16"/>
      <c r="M4" s="40"/>
    </row>
    <row r="5" s="3" customFormat="1" ht="15.75" spans="1:13">
      <c r="A5" s="17" t="s">
        <v>36</v>
      </c>
      <c r="B5" s="18"/>
      <c r="C5" s="18"/>
      <c r="D5" s="18"/>
      <c r="E5" s="18"/>
      <c r="F5" s="18"/>
      <c r="G5" s="18"/>
      <c r="H5" s="18"/>
      <c r="I5" s="18"/>
      <c r="J5" s="18"/>
      <c r="K5" s="5"/>
      <c r="L5" s="6"/>
      <c r="M5" s="4"/>
    </row>
    <row r="6" s="3" customFormat="1" spans="1:13">
      <c r="A6" s="23" t="s">
        <v>665</v>
      </c>
      <c r="B6" s="24" t="s">
        <v>666</v>
      </c>
      <c r="C6" s="24" t="s">
        <v>414</v>
      </c>
      <c r="D6" s="24" t="str">
        <f>"0,7847"</f>
        <v>0,7847</v>
      </c>
      <c r="E6" s="23" t="s">
        <v>62</v>
      </c>
      <c r="F6" s="23" t="s">
        <v>40</v>
      </c>
      <c r="G6" s="24" t="s">
        <v>187</v>
      </c>
      <c r="H6" s="24" t="s">
        <v>310</v>
      </c>
      <c r="I6" s="24" t="s">
        <v>297</v>
      </c>
      <c r="J6" s="49"/>
      <c r="K6" s="44" t="str">
        <f>"105,0"</f>
        <v>105,0</v>
      </c>
      <c r="L6" s="45" t="str">
        <f>"82,3935"</f>
        <v>82,3935</v>
      </c>
      <c r="M6" s="23"/>
    </row>
    <row r="7" s="3" customFormat="1" spans="1:13">
      <c r="A7" s="25" t="s">
        <v>667</v>
      </c>
      <c r="B7" s="26" t="s">
        <v>668</v>
      </c>
      <c r="C7" s="26" t="s">
        <v>669</v>
      </c>
      <c r="D7" s="26" t="str">
        <f>"0,8181"</f>
        <v>0,8181</v>
      </c>
      <c r="E7" s="25" t="s">
        <v>62</v>
      </c>
      <c r="F7" s="25" t="s">
        <v>670</v>
      </c>
      <c r="G7" s="26" t="s">
        <v>303</v>
      </c>
      <c r="H7" s="26" t="s">
        <v>403</v>
      </c>
      <c r="I7" s="46" t="s">
        <v>180</v>
      </c>
      <c r="J7" s="46"/>
      <c r="K7" s="47" t="str">
        <f>"80,0"</f>
        <v>80,0</v>
      </c>
      <c r="L7" s="48" t="str">
        <f>"65,4480"</f>
        <v>65,4480</v>
      </c>
      <c r="M7" s="25"/>
    </row>
    <row r="9" ht="15.75" spans="1:10">
      <c r="A9" s="21" t="s">
        <v>171</v>
      </c>
      <c r="B9" s="22"/>
      <c r="C9" s="22"/>
      <c r="D9" s="22"/>
      <c r="E9" s="22"/>
      <c r="F9" s="22"/>
      <c r="G9" s="22"/>
      <c r="H9" s="22"/>
      <c r="I9" s="22"/>
      <c r="J9" s="22"/>
    </row>
    <row r="10" spans="1:13">
      <c r="A10" s="19" t="s">
        <v>671</v>
      </c>
      <c r="B10" s="20" t="s">
        <v>672</v>
      </c>
      <c r="C10" s="20" t="s">
        <v>401</v>
      </c>
      <c r="D10" s="20" t="str">
        <f>"0,6723"</f>
        <v>0,6723</v>
      </c>
      <c r="E10" s="19" t="s">
        <v>507</v>
      </c>
      <c r="F10" s="19" t="s">
        <v>673</v>
      </c>
      <c r="G10" s="20" t="s">
        <v>120</v>
      </c>
      <c r="H10" s="20" t="s">
        <v>325</v>
      </c>
      <c r="I10" s="41" t="s">
        <v>475</v>
      </c>
      <c r="J10" s="41"/>
      <c r="K10" s="42" t="str">
        <f>"160,0"</f>
        <v>160,0</v>
      </c>
      <c r="L10" s="43" t="str">
        <f>"107,5680"</f>
        <v>107,5680</v>
      </c>
      <c r="M10" s="19"/>
    </row>
    <row r="12" ht="15.75" spans="1:10">
      <c r="A12" s="21" t="s">
        <v>104</v>
      </c>
      <c r="B12" s="22"/>
      <c r="C12" s="22"/>
      <c r="D12" s="22"/>
      <c r="E12" s="22"/>
      <c r="F12" s="22"/>
      <c r="G12" s="22"/>
      <c r="H12" s="22"/>
      <c r="I12" s="22"/>
      <c r="J12" s="22"/>
    </row>
    <row r="13" spans="1:13">
      <c r="A13" s="19" t="s">
        <v>674</v>
      </c>
      <c r="B13" s="20" t="s">
        <v>675</v>
      </c>
      <c r="C13" s="20" t="s">
        <v>676</v>
      </c>
      <c r="D13" s="20" t="str">
        <f>"0,5660"</f>
        <v>0,5660</v>
      </c>
      <c r="E13" s="19" t="s">
        <v>62</v>
      </c>
      <c r="F13" s="19" t="s">
        <v>248</v>
      </c>
      <c r="G13" s="41" t="s">
        <v>608</v>
      </c>
      <c r="H13" s="20" t="s">
        <v>608</v>
      </c>
      <c r="I13" s="20" t="s">
        <v>69</v>
      </c>
      <c r="J13" s="41"/>
      <c r="K13" s="42" t="str">
        <f>"190,0"</f>
        <v>190,0</v>
      </c>
      <c r="L13" s="43" t="str">
        <f>"107,5400"</f>
        <v>107,5400</v>
      </c>
      <c r="M13" s="19"/>
    </row>
    <row r="15" ht="15.75" spans="1:10">
      <c r="A15" s="21" t="s">
        <v>12</v>
      </c>
      <c r="B15" s="22"/>
      <c r="C15" s="22"/>
      <c r="D15" s="22"/>
      <c r="E15" s="22"/>
      <c r="F15" s="22"/>
      <c r="G15" s="22"/>
      <c r="H15" s="22"/>
      <c r="I15" s="22"/>
      <c r="J15" s="22"/>
    </row>
    <row r="16" spans="1:13">
      <c r="A16" s="19" t="s">
        <v>654</v>
      </c>
      <c r="B16" s="20" t="s">
        <v>655</v>
      </c>
      <c r="C16" s="20" t="s">
        <v>483</v>
      </c>
      <c r="D16" s="20" t="str">
        <f>"0,5389"</f>
        <v>0,5389</v>
      </c>
      <c r="E16" s="19" t="s">
        <v>62</v>
      </c>
      <c r="F16" s="19" t="s">
        <v>656</v>
      </c>
      <c r="G16" s="20" t="s">
        <v>41</v>
      </c>
      <c r="H16" s="20" t="s">
        <v>42</v>
      </c>
      <c r="I16" s="41" t="s">
        <v>49</v>
      </c>
      <c r="J16" s="41"/>
      <c r="K16" s="42" t="str">
        <f>"135,0"</f>
        <v>135,0</v>
      </c>
      <c r="L16" s="43" t="str">
        <f>"87,5928"</f>
        <v>87,5928</v>
      </c>
      <c r="M16" s="19"/>
    </row>
    <row r="18" ht="15.75" spans="5:5">
      <c r="E18" s="29" t="s">
        <v>20</v>
      </c>
    </row>
    <row r="19" ht="15.75" spans="5:5">
      <c r="E19" s="29" t="s">
        <v>21</v>
      </c>
    </row>
    <row r="20" ht="15.75" spans="5:5">
      <c r="E20" s="29" t="s">
        <v>22</v>
      </c>
    </row>
    <row r="21" spans="5:5">
      <c r="E21" s="4" t="s">
        <v>23</v>
      </c>
    </row>
    <row r="22" spans="5:5">
      <c r="E22" s="4" t="s">
        <v>24</v>
      </c>
    </row>
    <row r="23" spans="5:5">
      <c r="E23" s="4" t="s">
        <v>25</v>
      </c>
    </row>
    <row r="26" ht="18.75" spans="1:2">
      <c r="A26" s="30" t="s">
        <v>26</v>
      </c>
      <c r="B26" s="31"/>
    </row>
    <row r="27" ht="15.75" spans="1:2">
      <c r="A27" s="32" t="s">
        <v>80</v>
      </c>
      <c r="B27" s="21"/>
    </row>
    <row r="28" ht="15" spans="1:2">
      <c r="A28" s="33"/>
      <c r="B28" s="34" t="s">
        <v>28</v>
      </c>
    </row>
    <row r="29" ht="14.25" spans="1:5">
      <c r="A29" s="35" t="s">
        <v>1</v>
      </c>
      <c r="B29" s="35" t="s">
        <v>29</v>
      </c>
      <c r="C29" s="35" t="s">
        <v>30</v>
      </c>
      <c r="D29" s="35" t="s">
        <v>31</v>
      </c>
      <c r="E29" s="35" t="s">
        <v>204</v>
      </c>
    </row>
    <row r="30" spans="1:5">
      <c r="A30" s="36" t="s">
        <v>677</v>
      </c>
      <c r="B30" s="3" t="s">
        <v>28</v>
      </c>
      <c r="C30" s="3" t="s">
        <v>82</v>
      </c>
      <c r="D30" s="3" t="s">
        <v>297</v>
      </c>
      <c r="E30" s="5" t="s">
        <v>678</v>
      </c>
    </row>
    <row r="31" spans="1:5">
      <c r="A31" s="36" t="s">
        <v>679</v>
      </c>
      <c r="B31" s="3" t="s">
        <v>28</v>
      </c>
      <c r="C31" s="3" t="s">
        <v>82</v>
      </c>
      <c r="D31" s="3" t="s">
        <v>403</v>
      </c>
      <c r="E31" s="5" t="s">
        <v>680</v>
      </c>
    </row>
    <row r="34" ht="15.75" spans="1:2">
      <c r="A34" s="32" t="s">
        <v>27</v>
      </c>
      <c r="B34" s="21"/>
    </row>
    <row r="35" ht="15" spans="1:2">
      <c r="A35" s="33"/>
      <c r="B35" s="34" t="s">
        <v>28</v>
      </c>
    </row>
    <row r="36" ht="14.25" spans="1:5">
      <c r="A36" s="35" t="s">
        <v>1</v>
      </c>
      <c r="B36" s="35" t="s">
        <v>29</v>
      </c>
      <c r="C36" s="35" t="s">
        <v>30</v>
      </c>
      <c r="D36" s="35" t="s">
        <v>31</v>
      </c>
      <c r="E36" s="35" t="s">
        <v>204</v>
      </c>
    </row>
    <row r="37" spans="1:5">
      <c r="A37" s="36" t="s">
        <v>681</v>
      </c>
      <c r="B37" s="3" t="s">
        <v>28</v>
      </c>
      <c r="C37" s="3" t="s">
        <v>190</v>
      </c>
      <c r="D37" s="3" t="s">
        <v>325</v>
      </c>
      <c r="E37" s="5" t="s">
        <v>682</v>
      </c>
    </row>
    <row r="38" spans="1:5">
      <c r="A38" s="36" t="s">
        <v>683</v>
      </c>
      <c r="B38" s="3" t="s">
        <v>28</v>
      </c>
      <c r="C38" s="3" t="s">
        <v>136</v>
      </c>
      <c r="D38" s="3" t="s">
        <v>69</v>
      </c>
      <c r="E38" s="5" t="s">
        <v>684</v>
      </c>
    </row>
    <row r="40" ht="15" spans="1:2">
      <c r="A40" s="33"/>
      <c r="B40" s="34" t="s">
        <v>84</v>
      </c>
    </row>
    <row r="41" ht="14.25" spans="1:5">
      <c r="A41" s="35" t="s">
        <v>1</v>
      </c>
      <c r="B41" s="35" t="s">
        <v>29</v>
      </c>
      <c r="C41" s="35" t="s">
        <v>30</v>
      </c>
      <c r="D41" s="35" t="s">
        <v>31</v>
      </c>
      <c r="E41" s="35" t="s">
        <v>204</v>
      </c>
    </row>
    <row r="42" spans="1:5">
      <c r="A42" s="36" t="s">
        <v>657</v>
      </c>
      <c r="B42" s="3" t="s">
        <v>569</v>
      </c>
      <c r="C42" s="3" t="s">
        <v>33</v>
      </c>
      <c r="D42" s="3" t="s">
        <v>42</v>
      </c>
      <c r="E42" s="5" t="s">
        <v>658</v>
      </c>
    </row>
  </sheetData>
  <mergeCells count="15">
    <mergeCell ref="G3:J3"/>
    <mergeCell ref="A5:J5"/>
    <mergeCell ref="A9:J9"/>
    <mergeCell ref="A12:J12"/>
    <mergeCell ref="A15:J15"/>
    <mergeCell ref="A3:A4"/>
    <mergeCell ref="B3:B4"/>
    <mergeCell ref="C3:C4"/>
    <mergeCell ref="D3:D4"/>
    <mergeCell ref="E3:E4"/>
    <mergeCell ref="F3:F4"/>
    <mergeCell ref="K3:K4"/>
    <mergeCell ref="L3:L4"/>
    <mergeCell ref="M3:M4"/>
    <mergeCell ref="A1:M2"/>
  </mergeCells>
  <pageMargins left="0.7" right="0.7" top="0.75" bottom="0.75" header="0.3" footer="0.3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47"/>
  <sheetViews>
    <sheetView tabSelected="1" workbookViewId="0">
      <selection activeCell="A1" sqref="A1:Y2"/>
    </sheetView>
  </sheetViews>
  <sheetFormatPr defaultColWidth="9.11111111111111" defaultRowHeight="12.75"/>
  <cols>
    <col min="1" max="1" width="24.8888888888889" style="4" customWidth="1"/>
    <col min="2" max="2" width="26.5555555555556" style="3" customWidth="1"/>
    <col min="3" max="3" width="7.55555555555556" style="3" customWidth="1"/>
    <col min="4" max="4" width="8.77777777777778" style="3" customWidth="1"/>
    <col min="5" max="5" width="17" style="4" customWidth="1"/>
    <col min="6" max="6" width="15.2222222222222" style="4" customWidth="1"/>
    <col min="7" max="9" width="5.55555555555556" style="3" customWidth="1"/>
    <col min="10" max="10" width="4.77777777777778" style="3" customWidth="1"/>
    <col min="11" max="11" width="5.77777777777778" style="5" customWidth="1"/>
    <col min="12" max="12" width="8.55555555555556" style="6" customWidth="1"/>
    <col min="13" max="13" width="7.11111111111111" style="4" customWidth="1"/>
    <col min="14" max="16384" width="9.11111111111111" style="7"/>
  </cols>
  <sheetData>
    <row r="1" s="1" customFormat="1" ht="28.95" customHeight="1" spans="1:13">
      <c r="A1" s="8" t="s">
        <v>685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37"/>
    </row>
    <row r="2" s="1" customFormat="1" ht="61.95" customHeight="1" spans="1:13">
      <c r="A2" s="10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38"/>
    </row>
    <row r="3" s="2" customFormat="1" customHeight="1" spans="1:13">
      <c r="A3" s="12" t="s">
        <v>1</v>
      </c>
      <c r="B3" s="13" t="s">
        <v>2</v>
      </c>
      <c r="C3" s="13" t="s">
        <v>3</v>
      </c>
      <c r="D3" s="14" t="s">
        <v>204</v>
      </c>
      <c r="E3" s="14" t="s">
        <v>5</v>
      </c>
      <c r="F3" s="14" t="s">
        <v>6</v>
      </c>
      <c r="G3" s="14" t="s">
        <v>290</v>
      </c>
      <c r="H3" s="14"/>
      <c r="I3" s="14"/>
      <c r="J3" s="14"/>
      <c r="K3" s="14" t="s">
        <v>8</v>
      </c>
      <c r="L3" s="14" t="s">
        <v>9</v>
      </c>
      <c r="M3" s="39" t="s">
        <v>10</v>
      </c>
    </row>
    <row r="4" s="2" customFormat="1" ht="23.25" customHeight="1" spans="1:13">
      <c r="A4" s="15"/>
      <c r="B4" s="16"/>
      <c r="C4" s="16"/>
      <c r="D4" s="16"/>
      <c r="E4" s="16"/>
      <c r="F4" s="16"/>
      <c r="G4" s="16">
        <v>1</v>
      </c>
      <c r="H4" s="16">
        <v>2</v>
      </c>
      <c r="I4" s="16">
        <v>3</v>
      </c>
      <c r="J4" s="16" t="s">
        <v>11</v>
      </c>
      <c r="K4" s="16"/>
      <c r="L4" s="16"/>
      <c r="M4" s="40"/>
    </row>
    <row r="5" s="3" customFormat="1" ht="15.75" spans="1:13">
      <c r="A5" s="17" t="s">
        <v>58</v>
      </c>
      <c r="B5" s="18"/>
      <c r="C5" s="18"/>
      <c r="D5" s="18"/>
      <c r="E5" s="18"/>
      <c r="F5" s="18"/>
      <c r="G5" s="18"/>
      <c r="H5" s="18"/>
      <c r="I5" s="18"/>
      <c r="J5" s="18"/>
      <c r="K5" s="5"/>
      <c r="L5" s="6"/>
      <c r="M5" s="4"/>
    </row>
    <row r="6" s="3" customFormat="1" spans="1:13">
      <c r="A6" s="23" t="s">
        <v>686</v>
      </c>
      <c r="B6" s="24" t="s">
        <v>687</v>
      </c>
      <c r="C6" s="24" t="s">
        <v>458</v>
      </c>
      <c r="D6" s="24" t="str">
        <f>"0,5918"</f>
        <v>0,5918</v>
      </c>
      <c r="E6" s="23" t="s">
        <v>62</v>
      </c>
      <c r="F6" s="23" t="s">
        <v>688</v>
      </c>
      <c r="G6" s="49" t="s">
        <v>114</v>
      </c>
      <c r="H6" s="24" t="s">
        <v>689</v>
      </c>
      <c r="I6" s="24" t="s">
        <v>55</v>
      </c>
      <c r="J6" s="49"/>
      <c r="K6" s="44" t="str">
        <f>"260,0"</f>
        <v>260,0</v>
      </c>
      <c r="L6" s="45" t="str">
        <f>"153,8680"</f>
        <v>153,8680</v>
      </c>
      <c r="M6" s="23"/>
    </row>
    <row r="7" s="3" customFormat="1" spans="1:13">
      <c r="A7" s="25" t="s">
        <v>690</v>
      </c>
      <c r="B7" s="26" t="s">
        <v>691</v>
      </c>
      <c r="C7" s="26" t="s">
        <v>461</v>
      </c>
      <c r="D7" s="26" t="str">
        <f>"0,5905"</f>
        <v>0,5905</v>
      </c>
      <c r="E7" s="25" t="s">
        <v>62</v>
      </c>
      <c r="F7" s="25" t="s">
        <v>692</v>
      </c>
      <c r="G7" s="46" t="s">
        <v>42</v>
      </c>
      <c r="H7" s="26" t="s">
        <v>49</v>
      </c>
      <c r="I7" s="26" t="s">
        <v>120</v>
      </c>
      <c r="J7" s="46"/>
      <c r="K7" s="47" t="str">
        <f>"155,0"</f>
        <v>155,0</v>
      </c>
      <c r="L7" s="48" t="str">
        <f>"175,7328"</f>
        <v>175,7328</v>
      </c>
      <c r="M7" s="25"/>
    </row>
    <row r="9" ht="15.75" spans="1:10">
      <c r="A9" s="21" t="s">
        <v>104</v>
      </c>
      <c r="B9" s="22"/>
      <c r="C9" s="22"/>
      <c r="D9" s="22"/>
      <c r="E9" s="22"/>
      <c r="F9" s="22"/>
      <c r="G9" s="22"/>
      <c r="H9" s="22"/>
      <c r="I9" s="22"/>
      <c r="J9" s="22"/>
    </row>
    <row r="10" spans="1:13">
      <c r="A10" s="23" t="s">
        <v>693</v>
      </c>
      <c r="B10" s="24" t="s">
        <v>694</v>
      </c>
      <c r="C10" s="24" t="s">
        <v>676</v>
      </c>
      <c r="D10" s="24" t="str">
        <f>"0,5660"</f>
        <v>0,5660</v>
      </c>
      <c r="E10" s="23" t="s">
        <v>62</v>
      </c>
      <c r="F10" s="23" t="s">
        <v>695</v>
      </c>
      <c r="G10" s="24" t="s">
        <v>345</v>
      </c>
      <c r="H10" s="24" t="s">
        <v>54</v>
      </c>
      <c r="I10" s="49" t="s">
        <v>101</v>
      </c>
      <c r="J10" s="49"/>
      <c r="K10" s="44" t="str">
        <f>"240,0"</f>
        <v>240,0</v>
      </c>
      <c r="L10" s="45" t="str">
        <f>"135,8400"</f>
        <v>135,8400</v>
      </c>
      <c r="M10" s="23"/>
    </row>
    <row r="11" spans="1:13">
      <c r="A11" s="27" t="s">
        <v>115</v>
      </c>
      <c r="B11" s="28" t="s">
        <v>116</v>
      </c>
      <c r="C11" s="28" t="s">
        <v>117</v>
      </c>
      <c r="D11" s="28" t="str">
        <f>"0,5540"</f>
        <v>0,5540</v>
      </c>
      <c r="E11" s="27" t="s">
        <v>62</v>
      </c>
      <c r="F11" s="27" t="s">
        <v>118</v>
      </c>
      <c r="G11" s="28" t="s">
        <v>350</v>
      </c>
      <c r="H11" s="28" t="s">
        <v>64</v>
      </c>
      <c r="I11" s="28" t="s">
        <v>71</v>
      </c>
      <c r="J11" s="50"/>
      <c r="K11" s="51" t="str">
        <f>"225,0"</f>
        <v>225,0</v>
      </c>
      <c r="L11" s="52" t="str">
        <f>"232,4723"</f>
        <v>232,4723</v>
      </c>
      <c r="M11" s="27"/>
    </row>
    <row r="12" spans="1:13">
      <c r="A12" s="27" t="s">
        <v>696</v>
      </c>
      <c r="B12" s="28" t="s">
        <v>697</v>
      </c>
      <c r="C12" s="28" t="s">
        <v>698</v>
      </c>
      <c r="D12" s="28" t="str">
        <f>"0,5815"</f>
        <v>0,5815</v>
      </c>
      <c r="E12" s="27" t="s">
        <v>62</v>
      </c>
      <c r="F12" s="27" t="s">
        <v>692</v>
      </c>
      <c r="G12" s="28" t="s">
        <v>326</v>
      </c>
      <c r="H12" s="28" t="s">
        <v>323</v>
      </c>
      <c r="I12" s="50" t="s">
        <v>345</v>
      </c>
      <c r="J12" s="50"/>
      <c r="K12" s="51" t="str">
        <f>"200,0"</f>
        <v>200,0</v>
      </c>
      <c r="L12" s="52" t="str">
        <f>"197,7100"</f>
        <v>197,7100</v>
      </c>
      <c r="M12" s="27"/>
    </row>
    <row r="13" spans="1:13">
      <c r="A13" s="25" t="s">
        <v>699</v>
      </c>
      <c r="B13" s="26" t="s">
        <v>700</v>
      </c>
      <c r="C13" s="26" t="s">
        <v>473</v>
      </c>
      <c r="D13" s="26" t="str">
        <f>"0,5570"</f>
        <v>0,5570</v>
      </c>
      <c r="E13" s="25" t="s">
        <v>62</v>
      </c>
      <c r="F13" s="25" t="s">
        <v>701</v>
      </c>
      <c r="G13" s="26" t="s">
        <v>326</v>
      </c>
      <c r="H13" s="26" t="s">
        <v>69</v>
      </c>
      <c r="I13" s="46" t="s">
        <v>323</v>
      </c>
      <c r="J13" s="46"/>
      <c r="K13" s="47" t="str">
        <f>"190,0"</f>
        <v>190,0</v>
      </c>
      <c r="L13" s="48" t="str">
        <f>"216,7398"</f>
        <v>216,7398</v>
      </c>
      <c r="M13" s="25"/>
    </row>
    <row r="15" ht="15.75" spans="1:10">
      <c r="A15" s="21" t="s">
        <v>12</v>
      </c>
      <c r="B15" s="22"/>
      <c r="C15" s="22"/>
      <c r="D15" s="22"/>
      <c r="E15" s="22"/>
      <c r="F15" s="22"/>
      <c r="G15" s="22"/>
      <c r="H15" s="22"/>
      <c r="I15" s="22"/>
      <c r="J15" s="22"/>
    </row>
    <row r="16" spans="1:13">
      <c r="A16" s="19" t="s">
        <v>702</v>
      </c>
      <c r="B16" s="20" t="s">
        <v>703</v>
      </c>
      <c r="C16" s="20" t="s">
        <v>704</v>
      </c>
      <c r="D16" s="20" t="str">
        <f>"0,5519"</f>
        <v>0,5519</v>
      </c>
      <c r="E16" s="19" t="s">
        <v>62</v>
      </c>
      <c r="F16" s="19" t="s">
        <v>607</v>
      </c>
      <c r="G16" s="20" t="s">
        <v>322</v>
      </c>
      <c r="H16" s="20" t="s">
        <v>324</v>
      </c>
      <c r="I16" s="20" t="s">
        <v>345</v>
      </c>
      <c r="J16" s="41"/>
      <c r="K16" s="42" t="str">
        <f>"230,0"</f>
        <v>230,0</v>
      </c>
      <c r="L16" s="43" t="str">
        <f>"127,3178"</f>
        <v>127,3178</v>
      </c>
      <c r="M16" s="19"/>
    </row>
    <row r="18" ht="15.75" spans="1:10">
      <c r="A18" s="21" t="s">
        <v>72</v>
      </c>
      <c r="B18" s="22"/>
      <c r="C18" s="22"/>
      <c r="D18" s="22"/>
      <c r="E18" s="22"/>
      <c r="F18" s="22"/>
      <c r="G18" s="22"/>
      <c r="H18" s="22"/>
      <c r="I18" s="22"/>
      <c r="J18" s="22"/>
    </row>
    <row r="19" spans="1:13">
      <c r="A19" s="23" t="s">
        <v>705</v>
      </c>
      <c r="B19" s="24" t="s">
        <v>706</v>
      </c>
      <c r="C19" s="24" t="s">
        <v>707</v>
      </c>
      <c r="D19" s="24" t="str">
        <f>"0,5262"</f>
        <v>0,5262</v>
      </c>
      <c r="E19" s="23" t="s">
        <v>62</v>
      </c>
      <c r="F19" s="23" t="s">
        <v>599</v>
      </c>
      <c r="G19" s="24" t="s">
        <v>65</v>
      </c>
      <c r="H19" s="24" t="s">
        <v>54</v>
      </c>
      <c r="I19" s="24" t="s">
        <v>114</v>
      </c>
      <c r="J19" s="49"/>
      <c r="K19" s="44" t="str">
        <f>"250,0"</f>
        <v>250,0</v>
      </c>
      <c r="L19" s="45" t="str">
        <f>"131,5500"</f>
        <v>131,5500</v>
      </c>
      <c r="M19" s="23"/>
    </row>
    <row r="20" spans="1:13">
      <c r="A20" s="27" t="s">
        <v>705</v>
      </c>
      <c r="B20" s="28" t="s">
        <v>708</v>
      </c>
      <c r="C20" s="28" t="s">
        <v>707</v>
      </c>
      <c r="D20" s="28" t="str">
        <f>"0,5262"</f>
        <v>0,5262</v>
      </c>
      <c r="E20" s="27" t="s">
        <v>62</v>
      </c>
      <c r="F20" s="27" t="s">
        <v>599</v>
      </c>
      <c r="G20" s="28" t="s">
        <v>65</v>
      </c>
      <c r="H20" s="28" t="s">
        <v>54</v>
      </c>
      <c r="I20" s="28" t="s">
        <v>114</v>
      </c>
      <c r="J20" s="50"/>
      <c r="K20" s="51" t="str">
        <f>"250,0"</f>
        <v>250,0</v>
      </c>
      <c r="L20" s="52" t="str">
        <f>"188,1165"</f>
        <v>188,1165</v>
      </c>
      <c r="M20" s="27"/>
    </row>
    <row r="21" spans="1:13">
      <c r="A21" s="25" t="s">
        <v>709</v>
      </c>
      <c r="B21" s="26" t="s">
        <v>710</v>
      </c>
      <c r="C21" s="26" t="s">
        <v>711</v>
      </c>
      <c r="D21" s="26" t="str">
        <f>"0,5247"</f>
        <v>0,5247</v>
      </c>
      <c r="E21" s="25" t="s">
        <v>62</v>
      </c>
      <c r="F21" s="25" t="s">
        <v>40</v>
      </c>
      <c r="G21" s="26" t="s">
        <v>608</v>
      </c>
      <c r="H21" s="26" t="s">
        <v>323</v>
      </c>
      <c r="I21" s="46" t="s">
        <v>497</v>
      </c>
      <c r="J21" s="46"/>
      <c r="K21" s="47" t="str">
        <f>"200,0"</f>
        <v>200,0</v>
      </c>
      <c r="L21" s="48" t="str">
        <f>"206,7318"</f>
        <v>206,7318</v>
      </c>
      <c r="M21" s="25"/>
    </row>
    <row r="23" ht="15.75" spans="5:5">
      <c r="E23" s="29" t="s">
        <v>20</v>
      </c>
    </row>
    <row r="24" ht="15.75" spans="5:5">
      <c r="E24" s="29" t="s">
        <v>21</v>
      </c>
    </row>
    <row r="25" ht="15.75" spans="5:5">
      <c r="E25" s="29" t="s">
        <v>22</v>
      </c>
    </row>
    <row r="26" spans="5:5">
      <c r="E26" s="4" t="s">
        <v>23</v>
      </c>
    </row>
    <row r="27" spans="5:5">
      <c r="E27" s="4" t="s">
        <v>24</v>
      </c>
    </row>
    <row r="28" spans="5:5">
      <c r="E28" s="4" t="s">
        <v>25</v>
      </c>
    </row>
    <row r="31" ht="18.75" spans="1:2">
      <c r="A31" s="30" t="s">
        <v>26</v>
      </c>
      <c r="B31" s="31"/>
    </row>
    <row r="32" ht="15.75" spans="1:2">
      <c r="A32" s="32" t="s">
        <v>27</v>
      </c>
      <c r="B32" s="21"/>
    </row>
    <row r="33" ht="15" spans="1:2">
      <c r="A33" s="33"/>
      <c r="B33" s="34" t="s">
        <v>28</v>
      </c>
    </row>
    <row r="34" ht="14.25" spans="1:5">
      <c r="A34" s="35" t="s">
        <v>1</v>
      </c>
      <c r="B34" s="35" t="s">
        <v>29</v>
      </c>
      <c r="C34" s="35" t="s">
        <v>30</v>
      </c>
      <c r="D34" s="35" t="s">
        <v>31</v>
      </c>
      <c r="E34" s="35" t="s">
        <v>204</v>
      </c>
    </row>
    <row r="35" spans="1:5">
      <c r="A35" s="36" t="s">
        <v>712</v>
      </c>
      <c r="B35" s="3" t="s">
        <v>28</v>
      </c>
      <c r="C35" s="3" t="s">
        <v>196</v>
      </c>
      <c r="D35" s="3" t="s">
        <v>55</v>
      </c>
      <c r="E35" s="5" t="s">
        <v>713</v>
      </c>
    </row>
    <row r="36" spans="1:5">
      <c r="A36" s="36" t="s">
        <v>714</v>
      </c>
      <c r="B36" s="3" t="s">
        <v>28</v>
      </c>
      <c r="C36" s="3" t="s">
        <v>136</v>
      </c>
      <c r="D36" s="3" t="s">
        <v>54</v>
      </c>
      <c r="E36" s="5" t="s">
        <v>715</v>
      </c>
    </row>
    <row r="37" spans="1:5">
      <c r="A37" s="36" t="s">
        <v>716</v>
      </c>
      <c r="B37" s="3" t="s">
        <v>28</v>
      </c>
      <c r="C37" s="3" t="s">
        <v>95</v>
      </c>
      <c r="D37" s="3" t="s">
        <v>114</v>
      </c>
      <c r="E37" s="5" t="s">
        <v>717</v>
      </c>
    </row>
    <row r="39" ht="15" spans="1:2">
      <c r="A39" s="33"/>
      <c r="B39" s="34" t="s">
        <v>84</v>
      </c>
    </row>
    <row r="40" ht="14.25" spans="1:5">
      <c r="A40" s="35" t="s">
        <v>1</v>
      </c>
      <c r="B40" s="35" t="s">
        <v>29</v>
      </c>
      <c r="C40" s="35" t="s">
        <v>30</v>
      </c>
      <c r="D40" s="35" t="s">
        <v>31</v>
      </c>
      <c r="E40" s="35" t="s">
        <v>204</v>
      </c>
    </row>
    <row r="41" spans="1:5">
      <c r="A41" s="36" t="s">
        <v>145</v>
      </c>
      <c r="B41" s="3" t="s">
        <v>146</v>
      </c>
      <c r="C41" s="3" t="s">
        <v>136</v>
      </c>
      <c r="D41" s="3" t="s">
        <v>71</v>
      </c>
      <c r="E41" s="5" t="s">
        <v>718</v>
      </c>
    </row>
    <row r="42" spans="1:5">
      <c r="A42" s="36" t="s">
        <v>719</v>
      </c>
      <c r="B42" s="3" t="s">
        <v>720</v>
      </c>
      <c r="C42" s="3" t="s">
        <v>136</v>
      </c>
      <c r="D42" s="3" t="s">
        <v>69</v>
      </c>
      <c r="E42" s="5" t="s">
        <v>721</v>
      </c>
    </row>
    <row r="43" spans="1:5">
      <c r="A43" s="36" t="s">
        <v>722</v>
      </c>
      <c r="B43" s="3" t="s">
        <v>720</v>
      </c>
      <c r="C43" s="3" t="s">
        <v>95</v>
      </c>
      <c r="D43" s="3" t="s">
        <v>323</v>
      </c>
      <c r="E43" s="5" t="s">
        <v>723</v>
      </c>
    </row>
    <row r="44" spans="1:5">
      <c r="A44" s="36" t="s">
        <v>724</v>
      </c>
      <c r="B44" s="3" t="s">
        <v>146</v>
      </c>
      <c r="C44" s="3" t="s">
        <v>136</v>
      </c>
      <c r="D44" s="3" t="s">
        <v>323</v>
      </c>
      <c r="E44" s="5" t="s">
        <v>725</v>
      </c>
    </row>
    <row r="45" spans="1:5">
      <c r="A45" s="36" t="s">
        <v>716</v>
      </c>
      <c r="B45" s="3" t="s">
        <v>86</v>
      </c>
      <c r="C45" s="3" t="s">
        <v>95</v>
      </c>
      <c r="D45" s="3" t="s">
        <v>114</v>
      </c>
      <c r="E45" s="5" t="s">
        <v>726</v>
      </c>
    </row>
    <row r="46" spans="1:5">
      <c r="A46" s="36" t="s">
        <v>727</v>
      </c>
      <c r="B46" s="3" t="s">
        <v>720</v>
      </c>
      <c r="C46" s="3" t="s">
        <v>196</v>
      </c>
      <c r="D46" s="3" t="s">
        <v>120</v>
      </c>
      <c r="E46" s="5" t="s">
        <v>728</v>
      </c>
    </row>
    <row r="47" spans="1:5">
      <c r="A47" s="36" t="s">
        <v>729</v>
      </c>
      <c r="B47" s="3" t="s">
        <v>141</v>
      </c>
      <c r="C47" s="3" t="s">
        <v>33</v>
      </c>
      <c r="D47" s="3" t="s">
        <v>345</v>
      </c>
      <c r="E47" s="5" t="s">
        <v>730</v>
      </c>
    </row>
  </sheetData>
  <mergeCells count="15">
    <mergeCell ref="G3:J3"/>
    <mergeCell ref="A5:J5"/>
    <mergeCell ref="A9:J9"/>
    <mergeCell ref="A15:J15"/>
    <mergeCell ref="A18:J18"/>
    <mergeCell ref="A3:A4"/>
    <mergeCell ref="B3:B4"/>
    <mergeCell ref="C3:C4"/>
    <mergeCell ref="D3:D4"/>
    <mergeCell ref="E3:E4"/>
    <mergeCell ref="F3:F4"/>
    <mergeCell ref="K3:K4"/>
    <mergeCell ref="L3:L4"/>
    <mergeCell ref="M3:M4"/>
    <mergeCell ref="A1:M2"/>
  </mergeCells>
  <pageMargins left="0.7" right="0.7" top="0.75" bottom="0.75" header="0.3" footer="0.3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46"/>
  <sheetViews>
    <sheetView workbookViewId="0">
      <selection activeCell="A1" sqref="A1:Y2"/>
    </sheetView>
  </sheetViews>
  <sheetFormatPr defaultColWidth="9.11111111111111" defaultRowHeight="12.75"/>
  <cols>
    <col min="1" max="1" width="24.8888888888889" style="4" customWidth="1"/>
    <col min="2" max="2" width="26.5555555555556" style="3" customWidth="1"/>
    <col min="3" max="3" width="7.55555555555556" style="3" customWidth="1"/>
    <col min="4" max="4" width="6.55555555555556" style="3" customWidth="1"/>
    <col min="5" max="5" width="17" style="4" customWidth="1"/>
    <col min="6" max="6" width="15.7777777777778" style="4" customWidth="1"/>
    <col min="7" max="10" width="5.55555555555556" style="3" customWidth="1"/>
    <col min="11" max="11" width="5.77777777777778" style="5" customWidth="1"/>
    <col min="12" max="12" width="7.55555555555556" style="6" customWidth="1"/>
    <col min="13" max="13" width="7.11111111111111" style="4" customWidth="1"/>
    <col min="14" max="16384" width="9.11111111111111" style="7"/>
  </cols>
  <sheetData>
    <row r="1" s="1" customFormat="1" ht="28.95" customHeight="1" spans="1:13">
      <c r="A1" s="8" t="s">
        <v>731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37"/>
    </row>
    <row r="2" s="1" customFormat="1" ht="61.95" customHeight="1" spans="1:13">
      <c r="A2" s="10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38"/>
    </row>
    <row r="3" s="2" customFormat="1" customHeight="1" spans="1:13">
      <c r="A3" s="12" t="s">
        <v>1</v>
      </c>
      <c r="B3" s="13" t="s">
        <v>2</v>
      </c>
      <c r="C3" s="13" t="s">
        <v>3</v>
      </c>
      <c r="D3" s="14" t="s">
        <v>4</v>
      </c>
      <c r="E3" s="14" t="s">
        <v>5</v>
      </c>
      <c r="F3" s="14" t="s">
        <v>6</v>
      </c>
      <c r="G3" s="14" t="s">
        <v>732</v>
      </c>
      <c r="H3" s="14"/>
      <c r="I3" s="14"/>
      <c r="J3" s="14"/>
      <c r="K3" s="14" t="s">
        <v>8</v>
      </c>
      <c r="L3" s="14" t="s">
        <v>9</v>
      </c>
      <c r="M3" s="39" t="s">
        <v>10</v>
      </c>
    </row>
    <row r="4" s="2" customFormat="1" ht="23.25" customHeight="1" spans="1:13">
      <c r="A4" s="15"/>
      <c r="B4" s="16"/>
      <c r="C4" s="16"/>
      <c r="D4" s="16"/>
      <c r="E4" s="16"/>
      <c r="F4" s="16"/>
      <c r="G4" s="16">
        <v>1</v>
      </c>
      <c r="H4" s="16">
        <v>2</v>
      </c>
      <c r="I4" s="16">
        <v>3</v>
      </c>
      <c r="J4" s="16" t="s">
        <v>11</v>
      </c>
      <c r="K4" s="16"/>
      <c r="L4" s="16"/>
      <c r="M4" s="40"/>
    </row>
    <row r="5" s="3" customFormat="1" ht="15.75" spans="1:13">
      <c r="A5" s="17" t="s">
        <v>733</v>
      </c>
      <c r="B5" s="18"/>
      <c r="C5" s="18"/>
      <c r="D5" s="18"/>
      <c r="E5" s="18"/>
      <c r="F5" s="18"/>
      <c r="G5" s="18"/>
      <c r="H5" s="18"/>
      <c r="I5" s="18"/>
      <c r="J5" s="18"/>
      <c r="K5" s="5"/>
      <c r="L5" s="6"/>
      <c r="M5" s="4"/>
    </row>
    <row r="6" s="3" customFormat="1" spans="1:13">
      <c r="A6" s="19" t="s">
        <v>734</v>
      </c>
      <c r="B6" s="20" t="s">
        <v>735</v>
      </c>
      <c r="C6" s="20" t="s">
        <v>736</v>
      </c>
      <c r="D6" s="20" t="str">
        <f>"0,7630"</f>
        <v>0,7630</v>
      </c>
      <c r="E6" s="19" t="s">
        <v>62</v>
      </c>
      <c r="F6" s="19" t="s">
        <v>640</v>
      </c>
      <c r="G6" s="20" t="s">
        <v>240</v>
      </c>
      <c r="H6" s="20" t="s">
        <v>403</v>
      </c>
      <c r="I6" s="41" t="s">
        <v>737</v>
      </c>
      <c r="J6" s="41"/>
      <c r="K6" s="42" t="str">
        <f>"80,0"</f>
        <v>80,0</v>
      </c>
      <c r="L6" s="43" t="str">
        <f>"61,0400"</f>
        <v>61,0400</v>
      </c>
      <c r="M6" s="19"/>
    </row>
    <row r="7" s="3" customFormat="1" spans="1:13">
      <c r="A7" s="4"/>
      <c r="E7" s="4"/>
      <c r="F7" s="4"/>
      <c r="K7" s="5"/>
      <c r="L7" s="6"/>
      <c r="M7" s="4"/>
    </row>
    <row r="8" ht="15.75" spans="1:10">
      <c r="A8" s="21" t="s">
        <v>738</v>
      </c>
      <c r="B8" s="22"/>
      <c r="C8" s="22"/>
      <c r="D8" s="22"/>
      <c r="E8" s="22"/>
      <c r="F8" s="22"/>
      <c r="G8" s="22"/>
      <c r="H8" s="22"/>
      <c r="I8" s="22"/>
      <c r="J8" s="22"/>
    </row>
    <row r="9" spans="1:13">
      <c r="A9" s="23" t="s">
        <v>739</v>
      </c>
      <c r="B9" s="24" t="s">
        <v>740</v>
      </c>
      <c r="C9" s="24" t="s">
        <v>741</v>
      </c>
      <c r="D9" s="24" t="str">
        <f>"0,6878"</f>
        <v>0,6878</v>
      </c>
      <c r="E9" s="23" t="s">
        <v>62</v>
      </c>
      <c r="F9" s="23" t="s">
        <v>742</v>
      </c>
      <c r="G9" s="24" t="s">
        <v>210</v>
      </c>
      <c r="H9" s="24" t="s">
        <v>303</v>
      </c>
      <c r="I9" s="24" t="s">
        <v>737</v>
      </c>
      <c r="J9" s="49" t="s">
        <v>442</v>
      </c>
      <c r="K9" s="44" t="str">
        <f>"85,0"</f>
        <v>85,0</v>
      </c>
      <c r="L9" s="45" t="str">
        <f>"58,4672"</f>
        <v>58,4672</v>
      </c>
      <c r="M9" s="23"/>
    </row>
    <row r="10" spans="1:13">
      <c r="A10" s="25" t="s">
        <v>739</v>
      </c>
      <c r="B10" s="26" t="s">
        <v>743</v>
      </c>
      <c r="C10" s="26" t="s">
        <v>741</v>
      </c>
      <c r="D10" s="26" t="str">
        <f>"0,6878"</f>
        <v>0,6878</v>
      </c>
      <c r="E10" s="25" t="s">
        <v>62</v>
      </c>
      <c r="F10" s="25" t="s">
        <v>742</v>
      </c>
      <c r="G10" s="26" t="s">
        <v>210</v>
      </c>
      <c r="H10" s="26" t="s">
        <v>303</v>
      </c>
      <c r="I10" s="26" t="s">
        <v>737</v>
      </c>
      <c r="J10" s="46" t="s">
        <v>442</v>
      </c>
      <c r="K10" s="47" t="str">
        <f>"85,0"</f>
        <v>85,0</v>
      </c>
      <c r="L10" s="48" t="str">
        <f>"58,4672"</f>
        <v>58,4672</v>
      </c>
      <c r="M10" s="25"/>
    </row>
    <row r="12" ht="15.75" spans="1:10">
      <c r="A12" s="21" t="s">
        <v>58</v>
      </c>
      <c r="B12" s="22"/>
      <c r="C12" s="22"/>
      <c r="D12" s="22"/>
      <c r="E12" s="22"/>
      <c r="F12" s="22"/>
      <c r="G12" s="22"/>
      <c r="H12" s="22"/>
      <c r="I12" s="22"/>
      <c r="J12" s="22"/>
    </row>
    <row r="13" spans="1:13">
      <c r="A13" s="19" t="s">
        <v>744</v>
      </c>
      <c r="B13" s="20" t="s">
        <v>745</v>
      </c>
      <c r="C13" s="20" t="s">
        <v>746</v>
      </c>
      <c r="D13" s="20" t="str">
        <f>"0,6436"</f>
        <v>0,6436</v>
      </c>
      <c r="E13" s="19" t="s">
        <v>747</v>
      </c>
      <c r="F13" s="19" t="s">
        <v>748</v>
      </c>
      <c r="G13" s="20" t="s">
        <v>240</v>
      </c>
      <c r="H13" s="20" t="s">
        <v>217</v>
      </c>
      <c r="I13" s="20" t="s">
        <v>175</v>
      </c>
      <c r="J13" s="20" t="s">
        <v>303</v>
      </c>
      <c r="K13" s="42" t="str">
        <f>"75,0"</f>
        <v>75,0</v>
      </c>
      <c r="L13" s="43" t="str">
        <f>"72,9360"</f>
        <v>72,9360</v>
      </c>
      <c r="M13" s="19"/>
    </row>
    <row r="15" ht="15.75" spans="1:10">
      <c r="A15" s="21" t="s">
        <v>104</v>
      </c>
      <c r="B15" s="22"/>
      <c r="C15" s="22"/>
      <c r="D15" s="22"/>
      <c r="E15" s="22"/>
      <c r="F15" s="22"/>
      <c r="G15" s="22"/>
      <c r="H15" s="22"/>
      <c r="I15" s="22"/>
      <c r="J15" s="22"/>
    </row>
    <row r="16" spans="1:13">
      <c r="A16" s="23" t="s">
        <v>749</v>
      </c>
      <c r="B16" s="24" t="s">
        <v>750</v>
      </c>
      <c r="C16" s="24" t="s">
        <v>751</v>
      </c>
      <c r="D16" s="24" t="str">
        <f>"0,5958"</f>
        <v>0,5958</v>
      </c>
      <c r="E16" s="23" t="s">
        <v>62</v>
      </c>
      <c r="F16" s="23" t="s">
        <v>752</v>
      </c>
      <c r="G16" s="24" t="s">
        <v>403</v>
      </c>
      <c r="H16" s="24" t="s">
        <v>442</v>
      </c>
      <c r="I16" s="49" t="s">
        <v>187</v>
      </c>
      <c r="J16" s="49"/>
      <c r="K16" s="44" t="str">
        <f>"90,0"</f>
        <v>90,0</v>
      </c>
      <c r="L16" s="45" t="str">
        <f>"53,6265"</f>
        <v>53,6265</v>
      </c>
      <c r="M16" s="23"/>
    </row>
    <row r="17" spans="1:13">
      <c r="A17" s="25" t="s">
        <v>753</v>
      </c>
      <c r="B17" s="26" t="s">
        <v>754</v>
      </c>
      <c r="C17" s="26" t="s">
        <v>755</v>
      </c>
      <c r="D17" s="26" t="str">
        <f>"0,5971"</f>
        <v>0,5971</v>
      </c>
      <c r="E17" s="25" t="s">
        <v>62</v>
      </c>
      <c r="F17" s="25" t="s">
        <v>752</v>
      </c>
      <c r="G17" s="26" t="s">
        <v>187</v>
      </c>
      <c r="H17" s="26" t="s">
        <v>298</v>
      </c>
      <c r="I17" s="26" t="s">
        <v>47</v>
      </c>
      <c r="J17" s="26" t="s">
        <v>48</v>
      </c>
      <c r="K17" s="47" t="str">
        <f>"140,0"</f>
        <v>140,0</v>
      </c>
      <c r="L17" s="48" t="str">
        <f>"83,5940"</f>
        <v>83,5940</v>
      </c>
      <c r="M17" s="25"/>
    </row>
    <row r="19" ht="15.75" spans="1:10">
      <c r="A19" s="21" t="s">
        <v>72</v>
      </c>
      <c r="B19" s="22"/>
      <c r="C19" s="22"/>
      <c r="D19" s="22"/>
      <c r="E19" s="22"/>
      <c r="F19" s="22"/>
      <c r="G19" s="22"/>
      <c r="H19" s="22"/>
      <c r="I19" s="22"/>
      <c r="J19" s="22"/>
    </row>
    <row r="20" spans="1:13">
      <c r="A20" s="19" t="s">
        <v>709</v>
      </c>
      <c r="B20" s="20" t="s">
        <v>710</v>
      </c>
      <c r="C20" s="20" t="s">
        <v>711</v>
      </c>
      <c r="D20" s="20" t="str">
        <f>"0,5487"</f>
        <v>0,5487</v>
      </c>
      <c r="E20" s="19" t="s">
        <v>62</v>
      </c>
      <c r="F20" s="19" t="s">
        <v>40</v>
      </c>
      <c r="G20" s="20" t="s">
        <v>303</v>
      </c>
      <c r="H20" s="20" t="s">
        <v>403</v>
      </c>
      <c r="I20" s="41" t="s">
        <v>442</v>
      </c>
      <c r="J20" s="41"/>
      <c r="K20" s="42" t="str">
        <f>"80,0"</f>
        <v>80,0</v>
      </c>
      <c r="L20" s="43" t="str">
        <f>"66,3208"</f>
        <v>66,3208</v>
      </c>
      <c r="M20" s="19"/>
    </row>
    <row r="22" ht="15.75" spans="5:5">
      <c r="E22" s="29" t="s">
        <v>20</v>
      </c>
    </row>
    <row r="23" ht="15.75" spans="5:5">
      <c r="E23" s="29" t="s">
        <v>21</v>
      </c>
    </row>
    <row r="24" ht="15.75" spans="5:5">
      <c r="E24" s="29" t="s">
        <v>22</v>
      </c>
    </row>
    <row r="25" spans="5:5">
      <c r="E25" s="4" t="s">
        <v>23</v>
      </c>
    </row>
    <row r="26" spans="5:5">
      <c r="E26" s="4" t="s">
        <v>24</v>
      </c>
    </row>
    <row r="27" spans="5:5">
      <c r="E27" s="4" t="s">
        <v>25</v>
      </c>
    </row>
    <row r="30" ht="18.75" spans="1:2">
      <c r="A30" s="30" t="s">
        <v>26</v>
      </c>
      <c r="B30" s="31"/>
    </row>
    <row r="31" ht="15.75" spans="1:2">
      <c r="A31" s="32" t="s">
        <v>27</v>
      </c>
      <c r="B31" s="21"/>
    </row>
    <row r="32" ht="15" spans="1:2">
      <c r="A32" s="33"/>
      <c r="B32" s="34" t="s">
        <v>756</v>
      </c>
    </row>
    <row r="33" ht="14.25" spans="1:5">
      <c r="A33" s="35" t="s">
        <v>1</v>
      </c>
      <c r="B33" s="35" t="s">
        <v>29</v>
      </c>
      <c r="C33" s="35" t="s">
        <v>30</v>
      </c>
      <c r="D33" s="35" t="s">
        <v>31</v>
      </c>
      <c r="E33" s="35" t="s">
        <v>4</v>
      </c>
    </row>
    <row r="34" spans="1:5">
      <c r="A34" s="36" t="s">
        <v>757</v>
      </c>
      <c r="B34" s="3" t="s">
        <v>756</v>
      </c>
      <c r="C34" s="3" t="s">
        <v>758</v>
      </c>
      <c r="D34" s="3" t="s">
        <v>737</v>
      </c>
      <c r="E34" s="5" t="s">
        <v>759</v>
      </c>
    </row>
    <row r="35" spans="1:5">
      <c r="A35" s="36" t="s">
        <v>760</v>
      </c>
      <c r="B35" s="3" t="s">
        <v>756</v>
      </c>
      <c r="C35" s="3" t="s">
        <v>136</v>
      </c>
      <c r="D35" s="3" t="s">
        <v>442</v>
      </c>
      <c r="E35" s="5" t="s">
        <v>761</v>
      </c>
    </row>
    <row r="37" ht="15" spans="1:2">
      <c r="A37" s="33"/>
      <c r="B37" s="34" t="s">
        <v>28</v>
      </c>
    </row>
    <row r="38" ht="14.25" spans="1:5">
      <c r="A38" s="35" t="s">
        <v>1</v>
      </c>
      <c r="B38" s="35" t="s">
        <v>29</v>
      </c>
      <c r="C38" s="35" t="s">
        <v>30</v>
      </c>
      <c r="D38" s="35" t="s">
        <v>31</v>
      </c>
      <c r="E38" s="35" t="s">
        <v>4</v>
      </c>
    </row>
    <row r="39" spans="1:5">
      <c r="A39" s="36" t="s">
        <v>762</v>
      </c>
      <c r="B39" s="3" t="s">
        <v>28</v>
      </c>
      <c r="C39" s="3" t="s">
        <v>136</v>
      </c>
      <c r="D39" s="3" t="s">
        <v>49</v>
      </c>
      <c r="E39" s="5" t="s">
        <v>763</v>
      </c>
    </row>
    <row r="40" spans="1:5">
      <c r="A40" s="36" t="s">
        <v>764</v>
      </c>
      <c r="B40" s="3" t="s">
        <v>28</v>
      </c>
      <c r="C40" s="3" t="s">
        <v>765</v>
      </c>
      <c r="D40" s="3" t="s">
        <v>403</v>
      </c>
      <c r="E40" s="5" t="s">
        <v>766</v>
      </c>
    </row>
    <row r="41" spans="1:5">
      <c r="A41" s="36" t="s">
        <v>757</v>
      </c>
      <c r="B41" s="3" t="s">
        <v>28</v>
      </c>
      <c r="C41" s="3" t="s">
        <v>758</v>
      </c>
      <c r="D41" s="3" t="s">
        <v>737</v>
      </c>
      <c r="E41" s="5" t="s">
        <v>759</v>
      </c>
    </row>
    <row r="43" ht="15" spans="1:2">
      <c r="A43" s="33"/>
      <c r="B43" s="34" t="s">
        <v>84</v>
      </c>
    </row>
    <row r="44" ht="14.25" spans="1:5">
      <c r="A44" s="35" t="s">
        <v>1</v>
      </c>
      <c r="B44" s="35" t="s">
        <v>29</v>
      </c>
      <c r="C44" s="35" t="s">
        <v>30</v>
      </c>
      <c r="D44" s="35" t="s">
        <v>31</v>
      </c>
      <c r="E44" s="35" t="s">
        <v>4</v>
      </c>
    </row>
    <row r="45" spans="1:5">
      <c r="A45" s="36" t="s">
        <v>767</v>
      </c>
      <c r="B45" s="3" t="s">
        <v>720</v>
      </c>
      <c r="C45" s="3" t="s">
        <v>196</v>
      </c>
      <c r="D45" s="3" t="s">
        <v>303</v>
      </c>
      <c r="E45" s="5" t="s">
        <v>768</v>
      </c>
    </row>
    <row r="46" spans="1:5">
      <c r="A46" s="36" t="s">
        <v>722</v>
      </c>
      <c r="B46" s="3" t="s">
        <v>720</v>
      </c>
      <c r="C46" s="3" t="s">
        <v>95</v>
      </c>
      <c r="D46" s="3" t="s">
        <v>403</v>
      </c>
      <c r="E46" s="5" t="s">
        <v>769</v>
      </c>
    </row>
  </sheetData>
  <mergeCells count="16">
    <mergeCell ref="G3:J3"/>
    <mergeCell ref="A5:J5"/>
    <mergeCell ref="A8:J8"/>
    <mergeCell ref="A12:J12"/>
    <mergeCell ref="A15:J15"/>
    <mergeCell ref="A19:J19"/>
    <mergeCell ref="A3:A4"/>
    <mergeCell ref="B3:B4"/>
    <mergeCell ref="C3:C4"/>
    <mergeCell ref="D3:D4"/>
    <mergeCell ref="E3:E4"/>
    <mergeCell ref="F3:F4"/>
    <mergeCell ref="K3:K4"/>
    <mergeCell ref="L3:L4"/>
    <mergeCell ref="M3:M4"/>
    <mergeCell ref="A1:M2"/>
  </mergeCells>
  <pageMargins left="0.7" right="0.7" top="0.75" bottom="0.75" header="0.3" footer="0.3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46"/>
  <sheetViews>
    <sheetView workbookViewId="0">
      <selection activeCell="A1" sqref="A1:Y2"/>
    </sheetView>
  </sheetViews>
  <sheetFormatPr defaultColWidth="9.11111111111111" defaultRowHeight="12.75"/>
  <cols>
    <col min="1" max="1" width="24.8888888888889" style="4" customWidth="1"/>
    <col min="2" max="2" width="26.5555555555556" style="3" customWidth="1"/>
    <col min="3" max="3" width="7.55555555555556" style="3" customWidth="1"/>
    <col min="4" max="4" width="6.55555555555556" style="3" customWidth="1"/>
    <col min="5" max="5" width="17" style="4" customWidth="1"/>
    <col min="6" max="6" width="14.7777777777778" style="4" customWidth="1"/>
    <col min="7" max="9" width="4.55555555555556" style="3" customWidth="1"/>
    <col min="10" max="10" width="4.77777777777778" style="3" customWidth="1"/>
    <col min="11" max="11" width="5.77777777777778" style="5" customWidth="1"/>
    <col min="12" max="12" width="7.55555555555556" style="6" customWidth="1"/>
    <col min="13" max="13" width="7.11111111111111" style="4" customWidth="1"/>
    <col min="14" max="16384" width="9.11111111111111" style="7"/>
  </cols>
  <sheetData>
    <row r="1" s="1" customFormat="1" ht="28.95" customHeight="1" spans="1:13">
      <c r="A1" s="8" t="s">
        <v>770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37"/>
    </row>
    <row r="2" s="1" customFormat="1" ht="61.95" customHeight="1" spans="1:13">
      <c r="A2" s="10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38"/>
    </row>
    <row r="3" s="2" customFormat="1" customHeight="1" spans="1:13">
      <c r="A3" s="12" t="s">
        <v>1</v>
      </c>
      <c r="B3" s="13" t="s">
        <v>2</v>
      </c>
      <c r="C3" s="13" t="s">
        <v>3</v>
      </c>
      <c r="D3" s="14" t="s">
        <v>4</v>
      </c>
      <c r="E3" s="14" t="s">
        <v>5</v>
      </c>
      <c r="F3" s="14" t="s">
        <v>6</v>
      </c>
      <c r="G3" s="14" t="s">
        <v>732</v>
      </c>
      <c r="H3" s="14"/>
      <c r="I3" s="14"/>
      <c r="J3" s="14"/>
      <c r="K3" s="14" t="s">
        <v>8</v>
      </c>
      <c r="L3" s="14" t="s">
        <v>9</v>
      </c>
      <c r="M3" s="39" t="s">
        <v>10</v>
      </c>
    </row>
    <row r="4" s="2" customFormat="1" ht="23.25" customHeight="1" spans="1:13">
      <c r="A4" s="15"/>
      <c r="B4" s="16"/>
      <c r="C4" s="16"/>
      <c r="D4" s="16"/>
      <c r="E4" s="16"/>
      <c r="F4" s="16"/>
      <c r="G4" s="16">
        <v>1</v>
      </c>
      <c r="H4" s="16">
        <v>2</v>
      </c>
      <c r="I4" s="16">
        <v>3</v>
      </c>
      <c r="J4" s="16" t="s">
        <v>11</v>
      </c>
      <c r="K4" s="16"/>
      <c r="L4" s="16"/>
      <c r="M4" s="40"/>
    </row>
    <row r="5" s="3" customFormat="1" ht="15.75" spans="1:13">
      <c r="A5" s="17" t="s">
        <v>738</v>
      </c>
      <c r="B5" s="18"/>
      <c r="C5" s="18"/>
      <c r="D5" s="18"/>
      <c r="E5" s="18"/>
      <c r="F5" s="18"/>
      <c r="G5" s="18"/>
      <c r="H5" s="18"/>
      <c r="I5" s="18"/>
      <c r="J5" s="18"/>
      <c r="K5" s="5"/>
      <c r="L5" s="6"/>
      <c r="M5" s="4"/>
    </row>
    <row r="6" s="3" customFormat="1" spans="1:13">
      <c r="A6" s="19" t="s">
        <v>771</v>
      </c>
      <c r="B6" s="20" t="s">
        <v>772</v>
      </c>
      <c r="C6" s="20" t="s">
        <v>773</v>
      </c>
      <c r="D6" s="20" t="str">
        <f>"0,6578"</f>
        <v>0,6578</v>
      </c>
      <c r="E6" s="19" t="s">
        <v>62</v>
      </c>
      <c r="F6" s="19" t="s">
        <v>774</v>
      </c>
      <c r="G6" s="20" t="s">
        <v>176</v>
      </c>
      <c r="H6" s="41" t="s">
        <v>775</v>
      </c>
      <c r="I6" s="41"/>
      <c r="J6" s="41"/>
      <c r="K6" s="42" t="str">
        <f>"44,0"</f>
        <v>44,0</v>
      </c>
      <c r="L6" s="43" t="str">
        <f>"28,9432"</f>
        <v>28,9432</v>
      </c>
      <c r="M6" s="19"/>
    </row>
    <row r="7" s="3" customFormat="1" spans="1:13">
      <c r="A7" s="4"/>
      <c r="E7" s="4"/>
      <c r="F7" s="4"/>
      <c r="K7" s="5"/>
      <c r="L7" s="6"/>
      <c r="M7" s="4"/>
    </row>
    <row r="8" ht="15.75" spans="1:10">
      <c r="A8" s="21" t="s">
        <v>58</v>
      </c>
      <c r="B8" s="22"/>
      <c r="C8" s="22"/>
      <c r="D8" s="22"/>
      <c r="E8" s="22"/>
      <c r="F8" s="22"/>
      <c r="G8" s="22"/>
      <c r="H8" s="22"/>
      <c r="I8" s="22"/>
      <c r="J8" s="22"/>
    </row>
    <row r="9" spans="1:13">
      <c r="A9" s="23" t="s">
        <v>776</v>
      </c>
      <c r="B9" s="24" t="s">
        <v>777</v>
      </c>
      <c r="C9" s="24" t="s">
        <v>778</v>
      </c>
      <c r="D9" s="24" t="str">
        <f>"0,6368"</f>
        <v>0,6368</v>
      </c>
      <c r="E9" s="23" t="s">
        <v>62</v>
      </c>
      <c r="F9" s="23" t="s">
        <v>40</v>
      </c>
      <c r="G9" s="24" t="s">
        <v>775</v>
      </c>
      <c r="H9" s="24" t="s">
        <v>779</v>
      </c>
      <c r="I9" s="24" t="s">
        <v>780</v>
      </c>
      <c r="J9" s="24" t="s">
        <v>781</v>
      </c>
      <c r="K9" s="44" t="str">
        <f>"71,5"</f>
        <v>71,5</v>
      </c>
      <c r="L9" s="45" t="str">
        <f>"49,9477"</f>
        <v>49,9477</v>
      </c>
      <c r="M9" s="23"/>
    </row>
    <row r="10" spans="1:13">
      <c r="A10" s="25" t="s">
        <v>744</v>
      </c>
      <c r="B10" s="26" t="s">
        <v>745</v>
      </c>
      <c r="C10" s="26" t="s">
        <v>746</v>
      </c>
      <c r="D10" s="26" t="str">
        <f>"0,6436"</f>
        <v>0,6436</v>
      </c>
      <c r="E10" s="25" t="s">
        <v>747</v>
      </c>
      <c r="F10" s="25" t="s">
        <v>748</v>
      </c>
      <c r="G10" s="26" t="s">
        <v>782</v>
      </c>
      <c r="H10" s="46" t="s">
        <v>775</v>
      </c>
      <c r="I10" s="46"/>
      <c r="J10" s="46"/>
      <c r="K10" s="47" t="str">
        <f>"49,0"</f>
        <v>49,0</v>
      </c>
      <c r="L10" s="48" t="str">
        <f>"47,6515"</f>
        <v>47,6515</v>
      </c>
      <c r="M10" s="25"/>
    </row>
    <row r="12" ht="15.75" spans="1:10">
      <c r="A12" s="21" t="s">
        <v>104</v>
      </c>
      <c r="B12" s="22"/>
      <c r="C12" s="22"/>
      <c r="D12" s="22"/>
      <c r="E12" s="22"/>
      <c r="F12" s="22"/>
      <c r="G12" s="22"/>
      <c r="H12" s="22"/>
      <c r="I12" s="22"/>
      <c r="J12" s="22"/>
    </row>
    <row r="13" spans="1:13">
      <c r="A13" s="23" t="s">
        <v>749</v>
      </c>
      <c r="B13" s="24" t="s">
        <v>750</v>
      </c>
      <c r="C13" s="24" t="s">
        <v>751</v>
      </c>
      <c r="D13" s="24" t="str">
        <f>"0,5958"</f>
        <v>0,5958</v>
      </c>
      <c r="E13" s="23" t="s">
        <v>62</v>
      </c>
      <c r="F13" s="23" t="s">
        <v>752</v>
      </c>
      <c r="G13" s="24" t="s">
        <v>782</v>
      </c>
      <c r="H13" s="24" t="s">
        <v>775</v>
      </c>
      <c r="I13" s="24" t="s">
        <v>779</v>
      </c>
      <c r="J13" s="24" t="s">
        <v>780</v>
      </c>
      <c r="K13" s="44" t="str">
        <f>"69,0"</f>
        <v>69,0</v>
      </c>
      <c r="L13" s="45" t="str">
        <f>"41,1136"</f>
        <v>41,1136</v>
      </c>
      <c r="M13" s="23"/>
    </row>
    <row r="14" spans="1:13">
      <c r="A14" s="25" t="s">
        <v>753</v>
      </c>
      <c r="B14" s="26" t="s">
        <v>754</v>
      </c>
      <c r="C14" s="26" t="s">
        <v>755</v>
      </c>
      <c r="D14" s="26" t="str">
        <f>"0,5971"</f>
        <v>0,5971</v>
      </c>
      <c r="E14" s="25" t="s">
        <v>62</v>
      </c>
      <c r="F14" s="25" t="s">
        <v>752</v>
      </c>
      <c r="G14" s="26" t="s">
        <v>783</v>
      </c>
      <c r="H14" s="26" t="s">
        <v>784</v>
      </c>
      <c r="I14" s="26" t="s">
        <v>785</v>
      </c>
      <c r="J14" s="26" t="s">
        <v>786</v>
      </c>
      <c r="K14" s="47" t="str">
        <f>"94,0"</f>
        <v>94,0</v>
      </c>
      <c r="L14" s="48" t="str">
        <f>"56,1274"</f>
        <v>56,1274</v>
      </c>
      <c r="M14" s="25"/>
    </row>
    <row r="16" ht="15.75" spans="1:10">
      <c r="A16" s="21" t="s">
        <v>12</v>
      </c>
      <c r="B16" s="22"/>
      <c r="C16" s="22"/>
      <c r="D16" s="22"/>
      <c r="E16" s="22"/>
      <c r="F16" s="22"/>
      <c r="G16" s="22"/>
      <c r="H16" s="22"/>
      <c r="I16" s="22"/>
      <c r="J16" s="22"/>
    </row>
    <row r="17" spans="1:13">
      <c r="A17" s="19" t="s">
        <v>787</v>
      </c>
      <c r="B17" s="20" t="s">
        <v>788</v>
      </c>
      <c r="C17" s="20" t="s">
        <v>789</v>
      </c>
      <c r="D17" s="20" t="str">
        <f>"0,5632"</f>
        <v>0,5632</v>
      </c>
      <c r="E17" s="19" t="s">
        <v>62</v>
      </c>
      <c r="F17" s="19" t="s">
        <v>607</v>
      </c>
      <c r="G17" s="20" t="s">
        <v>780</v>
      </c>
      <c r="H17" s="20" t="s">
        <v>781</v>
      </c>
      <c r="I17" s="41" t="s">
        <v>783</v>
      </c>
      <c r="J17" s="41"/>
      <c r="K17" s="42" t="str">
        <f>"69,0"</f>
        <v>69,0</v>
      </c>
      <c r="L17" s="43" t="str">
        <f>"50,1693"</f>
        <v>50,1693</v>
      </c>
      <c r="M17" s="19"/>
    </row>
    <row r="19" ht="15.75" spans="1:10">
      <c r="A19" s="21" t="s">
        <v>72</v>
      </c>
      <c r="B19" s="22"/>
      <c r="C19" s="22"/>
      <c r="D19" s="22"/>
      <c r="E19" s="22"/>
      <c r="F19" s="22"/>
      <c r="G19" s="22"/>
      <c r="H19" s="22"/>
      <c r="I19" s="22"/>
      <c r="J19" s="22"/>
    </row>
    <row r="20" spans="1:13">
      <c r="A20" s="19" t="s">
        <v>709</v>
      </c>
      <c r="B20" s="20" t="s">
        <v>710</v>
      </c>
      <c r="C20" s="20" t="s">
        <v>711</v>
      </c>
      <c r="D20" s="20" t="str">
        <f>"0,5487"</f>
        <v>0,5487</v>
      </c>
      <c r="E20" s="19" t="s">
        <v>62</v>
      </c>
      <c r="F20" s="19" t="s">
        <v>40</v>
      </c>
      <c r="G20" s="20" t="s">
        <v>176</v>
      </c>
      <c r="H20" s="20" t="s">
        <v>782</v>
      </c>
      <c r="I20" s="20" t="s">
        <v>779</v>
      </c>
      <c r="J20" s="41" t="s">
        <v>780</v>
      </c>
      <c r="K20" s="42" t="str">
        <f>"59,0"</f>
        <v>59,0</v>
      </c>
      <c r="L20" s="43" t="str">
        <f>"48,9116"</f>
        <v>48,9116</v>
      </c>
      <c r="M20" s="19"/>
    </row>
    <row r="22" ht="15.75" spans="5:5">
      <c r="E22" s="29" t="s">
        <v>20</v>
      </c>
    </row>
    <row r="23" ht="15.75" spans="5:5">
      <c r="E23" s="29" t="s">
        <v>21</v>
      </c>
    </row>
    <row r="24" ht="15.75" spans="5:5">
      <c r="E24" s="29" t="s">
        <v>22</v>
      </c>
    </row>
    <row r="25" spans="5:5">
      <c r="E25" s="4" t="s">
        <v>23</v>
      </c>
    </row>
    <row r="26" spans="5:5">
      <c r="E26" s="4" t="s">
        <v>24</v>
      </c>
    </row>
    <row r="27" spans="5:5">
      <c r="E27" s="4" t="s">
        <v>25</v>
      </c>
    </row>
    <row r="30" ht="18.75" spans="1:2">
      <c r="A30" s="30" t="s">
        <v>26</v>
      </c>
      <c r="B30" s="31"/>
    </row>
    <row r="31" ht="15.75" spans="1:2">
      <c r="A31" s="32" t="s">
        <v>27</v>
      </c>
      <c r="B31" s="21"/>
    </row>
    <row r="32" ht="15" spans="1:2">
      <c r="A32" s="33"/>
      <c r="B32" s="34" t="s">
        <v>756</v>
      </c>
    </row>
    <row r="33" ht="14.25" spans="1:5">
      <c r="A33" s="35" t="s">
        <v>1</v>
      </c>
      <c r="B33" s="35" t="s">
        <v>29</v>
      </c>
      <c r="C33" s="35" t="s">
        <v>30</v>
      </c>
      <c r="D33" s="35" t="s">
        <v>31</v>
      </c>
      <c r="E33" s="35" t="s">
        <v>4</v>
      </c>
    </row>
    <row r="34" spans="1:5">
      <c r="A34" s="36" t="s">
        <v>760</v>
      </c>
      <c r="B34" s="3" t="s">
        <v>756</v>
      </c>
      <c r="C34" s="3" t="s">
        <v>136</v>
      </c>
      <c r="D34" s="3" t="s">
        <v>781</v>
      </c>
      <c r="E34" s="5" t="s">
        <v>790</v>
      </c>
    </row>
    <row r="36" ht="15" spans="1:2">
      <c r="A36" s="33"/>
      <c r="B36" s="34" t="s">
        <v>28</v>
      </c>
    </row>
    <row r="37" ht="14.25" spans="1:5">
      <c r="A37" s="35" t="s">
        <v>1</v>
      </c>
      <c r="B37" s="35" t="s">
        <v>29</v>
      </c>
      <c r="C37" s="35" t="s">
        <v>30</v>
      </c>
      <c r="D37" s="35" t="s">
        <v>31</v>
      </c>
      <c r="E37" s="35" t="s">
        <v>4</v>
      </c>
    </row>
    <row r="38" spans="1:5">
      <c r="A38" s="36" t="s">
        <v>762</v>
      </c>
      <c r="B38" s="3" t="s">
        <v>28</v>
      </c>
      <c r="C38" s="3" t="s">
        <v>136</v>
      </c>
      <c r="D38" s="3" t="s">
        <v>786</v>
      </c>
      <c r="E38" s="5" t="s">
        <v>791</v>
      </c>
    </row>
    <row r="39" spans="1:5">
      <c r="A39" s="36" t="s">
        <v>792</v>
      </c>
      <c r="B39" s="3" t="s">
        <v>28</v>
      </c>
      <c r="C39" s="3" t="s">
        <v>758</v>
      </c>
      <c r="D39" s="3" t="s">
        <v>176</v>
      </c>
      <c r="E39" s="5" t="s">
        <v>793</v>
      </c>
    </row>
    <row r="41" ht="15" spans="1:2">
      <c r="A41" s="33"/>
      <c r="B41" s="34" t="s">
        <v>84</v>
      </c>
    </row>
    <row r="42" ht="14.25" spans="1:5">
      <c r="A42" s="35" t="s">
        <v>1</v>
      </c>
      <c r="B42" s="35" t="s">
        <v>29</v>
      </c>
      <c r="C42" s="35" t="s">
        <v>30</v>
      </c>
      <c r="D42" s="35" t="s">
        <v>31</v>
      </c>
      <c r="E42" s="35" t="s">
        <v>4</v>
      </c>
    </row>
    <row r="43" spans="1:5">
      <c r="A43" s="36" t="s">
        <v>794</v>
      </c>
      <c r="B43" s="3" t="s">
        <v>86</v>
      </c>
      <c r="C43" s="3" t="s">
        <v>33</v>
      </c>
      <c r="D43" s="3" t="s">
        <v>781</v>
      </c>
      <c r="E43" s="5" t="s">
        <v>795</v>
      </c>
    </row>
    <row r="44" spans="1:5">
      <c r="A44" s="36" t="s">
        <v>796</v>
      </c>
      <c r="B44" s="3" t="s">
        <v>94</v>
      </c>
      <c r="C44" s="3" t="s">
        <v>196</v>
      </c>
      <c r="D44" s="3" t="s">
        <v>797</v>
      </c>
      <c r="E44" s="5" t="s">
        <v>798</v>
      </c>
    </row>
    <row r="45" spans="1:5">
      <c r="A45" s="36" t="s">
        <v>722</v>
      </c>
      <c r="B45" s="3" t="s">
        <v>720</v>
      </c>
      <c r="C45" s="3" t="s">
        <v>95</v>
      </c>
      <c r="D45" s="3" t="s">
        <v>779</v>
      </c>
      <c r="E45" s="5" t="s">
        <v>799</v>
      </c>
    </row>
    <row r="46" spans="1:5">
      <c r="A46" s="36" t="s">
        <v>767</v>
      </c>
      <c r="B46" s="3" t="s">
        <v>720</v>
      </c>
      <c r="C46" s="3" t="s">
        <v>196</v>
      </c>
      <c r="D46" s="3" t="s">
        <v>782</v>
      </c>
      <c r="E46" s="5" t="s">
        <v>800</v>
      </c>
    </row>
  </sheetData>
  <mergeCells count="16">
    <mergeCell ref="G3:J3"/>
    <mergeCell ref="A5:J5"/>
    <mergeCell ref="A8:J8"/>
    <mergeCell ref="A12:J12"/>
    <mergeCell ref="A16:J16"/>
    <mergeCell ref="A19:J19"/>
    <mergeCell ref="A3:A4"/>
    <mergeCell ref="B3:B4"/>
    <mergeCell ref="C3:C4"/>
    <mergeCell ref="D3:D4"/>
    <mergeCell ref="E3:E4"/>
    <mergeCell ref="F3:F4"/>
    <mergeCell ref="K3:K4"/>
    <mergeCell ref="L3:L4"/>
    <mergeCell ref="M3:M4"/>
    <mergeCell ref="A1:M2"/>
  </mergeCells>
  <pageMargins left="0.7" right="0.7" top="0.75" bottom="0.75" header="0.3" footer="0.3"/>
  <headerFooter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4"/>
  <sheetViews>
    <sheetView workbookViewId="0">
      <selection activeCell="A1" sqref="A1:Y2"/>
    </sheetView>
  </sheetViews>
  <sheetFormatPr defaultColWidth="9.11111111111111" defaultRowHeight="12.75"/>
  <cols>
    <col min="1" max="1" width="24.8888888888889" style="4" customWidth="1"/>
    <col min="2" max="2" width="19.1111111111111" style="3" customWidth="1"/>
    <col min="3" max="3" width="7.55555555555556" style="3" customWidth="1"/>
    <col min="4" max="4" width="6.55555555555556" style="3" customWidth="1"/>
    <col min="5" max="5" width="17" style="4" customWidth="1"/>
    <col min="6" max="6" width="15.7777777777778" style="4" customWidth="1"/>
    <col min="7" max="9" width="4.55555555555556" style="3" customWidth="1"/>
    <col min="10" max="10" width="4.77777777777778" style="3" customWidth="1"/>
    <col min="11" max="11" width="5.77777777777778" style="5" customWidth="1"/>
    <col min="12" max="12" width="7.55555555555556" style="6" customWidth="1"/>
    <col min="13" max="13" width="7.11111111111111" style="4" customWidth="1"/>
    <col min="14" max="16384" width="9.11111111111111" style="7"/>
  </cols>
  <sheetData>
    <row r="1" s="1" customFormat="1" ht="28.95" customHeight="1" spans="1:13">
      <c r="A1" s="8" t="s">
        <v>801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37"/>
    </row>
    <row r="2" s="1" customFormat="1" ht="61.95" customHeight="1" spans="1:13">
      <c r="A2" s="10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38"/>
    </row>
    <row r="3" s="2" customFormat="1" customHeight="1" spans="1:13">
      <c r="A3" s="12" t="s">
        <v>1</v>
      </c>
      <c r="B3" s="13" t="s">
        <v>2</v>
      </c>
      <c r="C3" s="13" t="s">
        <v>3</v>
      </c>
      <c r="D3" s="14" t="s">
        <v>4</v>
      </c>
      <c r="E3" s="14" t="s">
        <v>5</v>
      </c>
      <c r="F3" s="14" t="s">
        <v>6</v>
      </c>
      <c r="G3" s="14" t="s">
        <v>732</v>
      </c>
      <c r="H3" s="14"/>
      <c r="I3" s="14"/>
      <c r="J3" s="14"/>
      <c r="K3" s="14" t="s">
        <v>8</v>
      </c>
      <c r="L3" s="14" t="s">
        <v>9</v>
      </c>
      <c r="M3" s="39" t="s">
        <v>10</v>
      </c>
    </row>
    <row r="4" s="2" customFormat="1" ht="23.25" customHeight="1" spans="1:13">
      <c r="A4" s="15"/>
      <c r="B4" s="16"/>
      <c r="C4" s="16"/>
      <c r="D4" s="16"/>
      <c r="E4" s="16"/>
      <c r="F4" s="16"/>
      <c r="G4" s="16">
        <v>1</v>
      </c>
      <c r="H4" s="16">
        <v>2</v>
      </c>
      <c r="I4" s="16">
        <v>3</v>
      </c>
      <c r="J4" s="16" t="s">
        <v>11</v>
      </c>
      <c r="K4" s="16"/>
      <c r="L4" s="16"/>
      <c r="M4" s="40"/>
    </row>
    <row r="5" s="3" customFormat="1" ht="15.75" spans="1:13">
      <c r="A5" s="17" t="s">
        <v>733</v>
      </c>
      <c r="B5" s="18"/>
      <c r="C5" s="18"/>
      <c r="D5" s="18"/>
      <c r="E5" s="18"/>
      <c r="F5" s="18"/>
      <c r="G5" s="18"/>
      <c r="H5" s="18"/>
      <c r="I5" s="18"/>
      <c r="J5" s="18"/>
      <c r="K5" s="5"/>
      <c r="L5" s="6"/>
      <c r="M5" s="4"/>
    </row>
    <row r="6" s="3" customFormat="1" spans="1:13">
      <c r="A6" s="19" t="s">
        <v>734</v>
      </c>
      <c r="B6" s="20" t="s">
        <v>735</v>
      </c>
      <c r="C6" s="20" t="s">
        <v>736</v>
      </c>
      <c r="D6" s="20" t="str">
        <f>"0,7630"</f>
        <v>0,7630</v>
      </c>
      <c r="E6" s="19" t="s">
        <v>62</v>
      </c>
      <c r="F6" s="19" t="s">
        <v>640</v>
      </c>
      <c r="G6" s="20" t="s">
        <v>802</v>
      </c>
      <c r="H6" s="41" t="s">
        <v>274</v>
      </c>
      <c r="I6" s="41"/>
      <c r="J6" s="41"/>
      <c r="K6" s="42" t="str">
        <f>"22,5"</f>
        <v>22,5</v>
      </c>
      <c r="L6" s="43" t="str">
        <f>"17,1675"</f>
        <v>17,1675</v>
      </c>
      <c r="M6" s="19"/>
    </row>
    <row r="7" s="3" customFormat="1" spans="1:13">
      <c r="A7" s="4"/>
      <c r="E7" s="4"/>
      <c r="F7" s="4"/>
      <c r="K7" s="5"/>
      <c r="L7" s="6"/>
      <c r="M7" s="4"/>
    </row>
    <row r="8" ht="15.75" spans="1:10">
      <c r="A8" s="21" t="s">
        <v>12</v>
      </c>
      <c r="B8" s="22"/>
      <c r="C8" s="22"/>
      <c r="D8" s="22"/>
      <c r="E8" s="22"/>
      <c r="F8" s="22"/>
      <c r="G8" s="22"/>
      <c r="H8" s="22"/>
      <c r="I8" s="22"/>
      <c r="J8" s="22"/>
    </row>
    <row r="9" spans="1:13">
      <c r="A9" s="19" t="s">
        <v>803</v>
      </c>
      <c r="B9" s="20" t="s">
        <v>804</v>
      </c>
      <c r="C9" s="20" t="s">
        <v>805</v>
      </c>
      <c r="D9" s="20" t="str">
        <f>"0,5716"</f>
        <v>0,5716</v>
      </c>
      <c r="E9" s="19" t="s">
        <v>62</v>
      </c>
      <c r="F9" s="19" t="s">
        <v>599</v>
      </c>
      <c r="G9" s="20" t="s">
        <v>806</v>
      </c>
      <c r="H9" s="20" t="s">
        <v>210</v>
      </c>
      <c r="I9" s="20" t="s">
        <v>157</v>
      </c>
      <c r="J9" s="41" t="s">
        <v>211</v>
      </c>
      <c r="K9" s="42" t="str">
        <f>"32,5"</f>
        <v>32,5</v>
      </c>
      <c r="L9" s="43" t="str">
        <f>"18,5770"</f>
        <v>18,5770</v>
      </c>
      <c r="M9" s="19"/>
    </row>
    <row r="11" ht="15.75" spans="5:5">
      <c r="E11" s="29" t="s">
        <v>20</v>
      </c>
    </row>
    <row r="12" ht="15.75" spans="5:5">
      <c r="E12" s="29" t="s">
        <v>21</v>
      </c>
    </row>
    <row r="13" ht="15.75" spans="5:5">
      <c r="E13" s="29" t="s">
        <v>22</v>
      </c>
    </row>
    <row r="14" spans="5:5">
      <c r="E14" s="4" t="s">
        <v>23</v>
      </c>
    </row>
    <row r="15" spans="5:5">
      <c r="E15" s="4" t="s">
        <v>24</v>
      </c>
    </row>
    <row r="16" spans="5:5">
      <c r="E16" s="4" t="s">
        <v>25</v>
      </c>
    </row>
    <row r="19" ht="18.75" spans="1:2">
      <c r="A19" s="30" t="s">
        <v>26</v>
      </c>
      <c r="B19" s="31"/>
    </row>
    <row r="20" ht="15.75" spans="1:2">
      <c r="A20" s="32" t="s">
        <v>27</v>
      </c>
      <c r="B20" s="21"/>
    </row>
    <row r="21" ht="15" spans="1:2">
      <c r="A21" s="33"/>
      <c r="B21" s="34" t="s">
        <v>28</v>
      </c>
    </row>
    <row r="22" ht="14.25" spans="1:5">
      <c r="A22" s="35" t="s">
        <v>1</v>
      </c>
      <c r="B22" s="35" t="s">
        <v>29</v>
      </c>
      <c r="C22" s="35" t="s">
        <v>30</v>
      </c>
      <c r="D22" s="35" t="s">
        <v>31</v>
      </c>
      <c r="E22" s="35" t="s">
        <v>4</v>
      </c>
    </row>
    <row r="23" spans="1:5">
      <c r="A23" s="36" t="s">
        <v>807</v>
      </c>
      <c r="B23" s="3" t="s">
        <v>28</v>
      </c>
      <c r="C23" s="3" t="s">
        <v>33</v>
      </c>
      <c r="D23" s="3" t="s">
        <v>157</v>
      </c>
      <c r="E23" s="5" t="s">
        <v>808</v>
      </c>
    </row>
    <row r="24" spans="1:5">
      <c r="A24" s="36" t="s">
        <v>764</v>
      </c>
      <c r="B24" s="3" t="s">
        <v>28</v>
      </c>
      <c r="C24" s="3" t="s">
        <v>765</v>
      </c>
      <c r="D24" s="3" t="s">
        <v>802</v>
      </c>
      <c r="E24" s="5" t="s">
        <v>809</v>
      </c>
    </row>
  </sheetData>
  <mergeCells count="13">
    <mergeCell ref="G3:J3"/>
    <mergeCell ref="A5:J5"/>
    <mergeCell ref="A8:J8"/>
    <mergeCell ref="A3:A4"/>
    <mergeCell ref="B3:B4"/>
    <mergeCell ref="C3:C4"/>
    <mergeCell ref="D3:D4"/>
    <mergeCell ref="E3:E4"/>
    <mergeCell ref="F3:F4"/>
    <mergeCell ref="K3:K4"/>
    <mergeCell ref="L3:L4"/>
    <mergeCell ref="M3:M4"/>
    <mergeCell ref="A1:M2"/>
  </mergeCells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48"/>
  <sheetViews>
    <sheetView workbookViewId="0">
      <selection activeCell="A1" sqref="A1:Y2"/>
    </sheetView>
  </sheetViews>
  <sheetFormatPr defaultColWidth="9.11111111111111" defaultRowHeight="12.75"/>
  <cols>
    <col min="1" max="1" width="24.8888888888889" style="4" customWidth="1"/>
    <col min="2" max="2" width="26.5555555555556" style="3" customWidth="1"/>
    <col min="3" max="3" width="7.55555555555556" style="3" customWidth="1"/>
    <col min="4" max="4" width="6.55555555555556" style="3" customWidth="1"/>
    <col min="5" max="5" width="17" style="4" customWidth="1"/>
    <col min="6" max="6" width="14.7777777777778" style="4" customWidth="1"/>
    <col min="7" max="9" width="5.55555555555556" style="3" customWidth="1"/>
    <col min="10" max="10" width="4.77777777777778" style="3" customWidth="1"/>
    <col min="11" max="11" width="5.77777777777778" style="5" customWidth="1"/>
    <col min="12" max="12" width="8.55555555555556" style="6" customWidth="1"/>
    <col min="13" max="13" width="14.7777777777778" style="4" customWidth="1"/>
    <col min="14" max="16384" width="9.11111111111111" style="7"/>
  </cols>
  <sheetData>
    <row r="1" s="1" customFormat="1" ht="28.95" customHeight="1" spans="1:13">
      <c r="A1" s="8" t="s">
        <v>35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37"/>
    </row>
    <row r="2" s="1" customFormat="1" ht="61.95" customHeight="1" spans="1:13">
      <c r="A2" s="10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38"/>
    </row>
    <row r="3" s="2" customFormat="1" customHeight="1" spans="1:13">
      <c r="A3" s="12" t="s">
        <v>1</v>
      </c>
      <c r="B3" s="13" t="s">
        <v>2</v>
      </c>
      <c r="C3" s="13" t="s">
        <v>3</v>
      </c>
      <c r="D3" s="14" t="s">
        <v>4</v>
      </c>
      <c r="E3" s="14" t="s">
        <v>5</v>
      </c>
      <c r="F3" s="14" t="s">
        <v>6</v>
      </c>
      <c r="G3" s="14" t="s">
        <v>7</v>
      </c>
      <c r="H3" s="14"/>
      <c r="I3" s="14"/>
      <c r="J3" s="14"/>
      <c r="K3" s="14" t="s">
        <v>8</v>
      </c>
      <c r="L3" s="14" t="s">
        <v>9</v>
      </c>
      <c r="M3" s="39" t="s">
        <v>10</v>
      </c>
    </row>
    <row r="4" s="2" customFormat="1" ht="23.25" customHeight="1" spans="1:13">
      <c r="A4" s="15"/>
      <c r="B4" s="16"/>
      <c r="C4" s="16"/>
      <c r="D4" s="16"/>
      <c r="E4" s="16"/>
      <c r="F4" s="16"/>
      <c r="G4" s="16">
        <v>1</v>
      </c>
      <c r="H4" s="16">
        <v>2</v>
      </c>
      <c r="I4" s="16">
        <v>3</v>
      </c>
      <c r="J4" s="16" t="s">
        <v>11</v>
      </c>
      <c r="K4" s="16"/>
      <c r="L4" s="16"/>
      <c r="M4" s="40"/>
    </row>
    <row r="5" s="3" customFormat="1" ht="15.75" spans="1:13">
      <c r="A5" s="17" t="s">
        <v>36</v>
      </c>
      <c r="B5" s="18"/>
      <c r="C5" s="18"/>
      <c r="D5" s="18"/>
      <c r="E5" s="18"/>
      <c r="F5" s="18"/>
      <c r="G5" s="18"/>
      <c r="H5" s="18"/>
      <c r="I5" s="18"/>
      <c r="J5" s="18"/>
      <c r="K5" s="5"/>
      <c r="L5" s="6"/>
      <c r="M5" s="4"/>
    </row>
    <row r="6" s="3" customFormat="1" spans="1:13">
      <c r="A6" s="23" t="s">
        <v>37</v>
      </c>
      <c r="B6" s="24" t="s">
        <v>38</v>
      </c>
      <c r="C6" s="24" t="s">
        <v>39</v>
      </c>
      <c r="D6" s="24" t="str">
        <f>"0,9323"</f>
        <v>0,9323</v>
      </c>
      <c r="E6" s="23" t="s">
        <v>16</v>
      </c>
      <c r="F6" s="23" t="s">
        <v>40</v>
      </c>
      <c r="G6" s="24" t="s">
        <v>41</v>
      </c>
      <c r="H6" s="24" t="s">
        <v>42</v>
      </c>
      <c r="I6" s="49" t="s">
        <v>43</v>
      </c>
      <c r="J6" s="49"/>
      <c r="K6" s="44" t="str">
        <f>"135,0"</f>
        <v>135,0</v>
      </c>
      <c r="L6" s="45" t="str">
        <f>"125,8605"</f>
        <v>125,8605</v>
      </c>
      <c r="M6" s="23"/>
    </row>
    <row r="7" s="3" customFormat="1" spans="1:13">
      <c r="A7" s="25" t="s">
        <v>44</v>
      </c>
      <c r="B7" s="26" t="s">
        <v>45</v>
      </c>
      <c r="C7" s="26" t="s">
        <v>46</v>
      </c>
      <c r="D7" s="26" t="str">
        <f>"0,9092"</f>
        <v>0,9092</v>
      </c>
      <c r="E7" s="25" t="s">
        <v>16</v>
      </c>
      <c r="F7" s="25" t="s">
        <v>40</v>
      </c>
      <c r="G7" s="26" t="s">
        <v>47</v>
      </c>
      <c r="H7" s="26" t="s">
        <v>48</v>
      </c>
      <c r="I7" s="26" t="s">
        <v>49</v>
      </c>
      <c r="J7" s="46"/>
      <c r="K7" s="47" t="str">
        <f>"140,0"</f>
        <v>140,0</v>
      </c>
      <c r="L7" s="48" t="str">
        <f>"155,9192"</f>
        <v>155,9192</v>
      </c>
      <c r="M7" s="25"/>
    </row>
    <row r="9" ht="15.75" spans="1:10">
      <c r="A9" s="21" t="s">
        <v>50</v>
      </c>
      <c r="B9" s="22"/>
      <c r="C9" s="22"/>
      <c r="D9" s="22"/>
      <c r="E9" s="22"/>
      <c r="F9" s="22"/>
      <c r="G9" s="22"/>
      <c r="H9" s="22"/>
      <c r="I9" s="22"/>
      <c r="J9" s="22"/>
    </row>
    <row r="10" spans="1:13">
      <c r="A10" s="19" t="s">
        <v>51</v>
      </c>
      <c r="B10" s="20" t="s">
        <v>52</v>
      </c>
      <c r="C10" s="20" t="s">
        <v>53</v>
      </c>
      <c r="D10" s="20" t="str">
        <f>"0,6518"</f>
        <v>0,6518</v>
      </c>
      <c r="E10" s="19" t="s">
        <v>16</v>
      </c>
      <c r="F10" s="19" t="s">
        <v>40</v>
      </c>
      <c r="G10" s="20" t="s">
        <v>54</v>
      </c>
      <c r="H10" s="41" t="s">
        <v>55</v>
      </c>
      <c r="I10" s="41" t="s">
        <v>56</v>
      </c>
      <c r="J10" s="41"/>
      <c r="K10" s="42" t="str">
        <f>"240,0"</f>
        <v>240,0</v>
      </c>
      <c r="L10" s="43" t="str">
        <f>"156,4440"</f>
        <v>156,4440</v>
      </c>
      <c r="M10" s="19" t="s">
        <v>57</v>
      </c>
    </row>
    <row r="12" ht="15.75" spans="1:10">
      <c r="A12" s="21" t="s">
        <v>58</v>
      </c>
      <c r="B12" s="22"/>
      <c r="C12" s="22"/>
      <c r="D12" s="22"/>
      <c r="E12" s="22"/>
      <c r="F12" s="22"/>
      <c r="G12" s="22"/>
      <c r="H12" s="22"/>
      <c r="I12" s="22"/>
      <c r="J12" s="22"/>
    </row>
    <row r="13" spans="1:13">
      <c r="A13" s="19" t="s">
        <v>59</v>
      </c>
      <c r="B13" s="20" t="s">
        <v>60</v>
      </c>
      <c r="C13" s="20" t="s">
        <v>61</v>
      </c>
      <c r="D13" s="20" t="str">
        <f>"0,6161"</f>
        <v>0,6161</v>
      </c>
      <c r="E13" s="19" t="s">
        <v>62</v>
      </c>
      <c r="F13" s="19" t="s">
        <v>63</v>
      </c>
      <c r="G13" s="41" t="s">
        <v>64</v>
      </c>
      <c r="H13" s="41" t="s">
        <v>65</v>
      </c>
      <c r="I13" s="41" t="s">
        <v>65</v>
      </c>
      <c r="J13" s="41"/>
      <c r="K13" s="42" t="str">
        <f>"0.00"</f>
        <v>0.00</v>
      </c>
      <c r="L13" s="43" t="str">
        <f>"0,0000"</f>
        <v>0,0000</v>
      </c>
      <c r="M13" s="19"/>
    </row>
    <row r="15" ht="15.75" spans="1:10">
      <c r="A15" s="21" t="s">
        <v>12</v>
      </c>
      <c r="B15" s="22"/>
      <c r="C15" s="22"/>
      <c r="D15" s="22"/>
      <c r="E15" s="22"/>
      <c r="F15" s="22"/>
      <c r="G15" s="22"/>
      <c r="H15" s="22"/>
      <c r="I15" s="22"/>
      <c r="J15" s="22"/>
    </row>
    <row r="16" spans="1:13">
      <c r="A16" s="19" t="s">
        <v>66</v>
      </c>
      <c r="B16" s="20" t="s">
        <v>67</v>
      </c>
      <c r="C16" s="20" t="s">
        <v>68</v>
      </c>
      <c r="D16" s="20" t="str">
        <f>"0,5637"</f>
        <v>0,5637</v>
      </c>
      <c r="E16" s="19" t="s">
        <v>16</v>
      </c>
      <c r="F16" s="19" t="s">
        <v>40</v>
      </c>
      <c r="G16" s="41" t="s">
        <v>69</v>
      </c>
      <c r="H16" s="20" t="s">
        <v>70</v>
      </c>
      <c r="I16" s="41" t="s">
        <v>71</v>
      </c>
      <c r="J16" s="41"/>
      <c r="K16" s="42" t="str">
        <f>"212,5"</f>
        <v>212,5</v>
      </c>
      <c r="L16" s="43" t="str">
        <f>"119,7756"</f>
        <v>119,7756</v>
      </c>
      <c r="M16" s="19"/>
    </row>
    <row r="18" ht="15.75" spans="1:10">
      <c r="A18" s="21" t="s">
        <v>72</v>
      </c>
      <c r="B18" s="22"/>
      <c r="C18" s="22"/>
      <c r="D18" s="22"/>
      <c r="E18" s="22"/>
      <c r="F18" s="22"/>
      <c r="G18" s="22"/>
      <c r="H18" s="22"/>
      <c r="I18" s="22"/>
      <c r="J18" s="22"/>
    </row>
    <row r="19" spans="1:13">
      <c r="A19" s="19" t="s">
        <v>73</v>
      </c>
      <c r="B19" s="20" t="s">
        <v>74</v>
      </c>
      <c r="C19" s="20" t="s">
        <v>75</v>
      </c>
      <c r="D19" s="20" t="str">
        <f>"0,5519"</f>
        <v>0,5519</v>
      </c>
      <c r="E19" s="19" t="s">
        <v>62</v>
      </c>
      <c r="F19" s="19" t="s">
        <v>76</v>
      </c>
      <c r="G19" s="20" t="s">
        <v>55</v>
      </c>
      <c r="H19" s="20" t="s">
        <v>77</v>
      </c>
      <c r="I19" s="41" t="s">
        <v>78</v>
      </c>
      <c r="J19" s="41"/>
      <c r="K19" s="42" t="str">
        <f>"280,0"</f>
        <v>280,0</v>
      </c>
      <c r="L19" s="43" t="str">
        <f>"163,0165"</f>
        <v>163,0165</v>
      </c>
      <c r="M19" s="19" t="s">
        <v>79</v>
      </c>
    </row>
    <row r="21" ht="15.75" spans="5:5">
      <c r="E21" s="29" t="s">
        <v>20</v>
      </c>
    </row>
    <row r="22" ht="15.75" spans="5:5">
      <c r="E22" s="29" t="s">
        <v>21</v>
      </c>
    </row>
    <row r="23" ht="15.75" spans="5:5">
      <c r="E23" s="29" t="s">
        <v>22</v>
      </c>
    </row>
    <row r="24" spans="5:5">
      <c r="E24" s="4" t="s">
        <v>23</v>
      </c>
    </row>
    <row r="25" spans="5:5">
      <c r="E25" s="4" t="s">
        <v>24</v>
      </c>
    </row>
    <row r="26" spans="5:5">
      <c r="E26" s="4" t="s">
        <v>25</v>
      </c>
    </row>
    <row r="29" ht="18.75" spans="1:2">
      <c r="A29" s="30" t="s">
        <v>26</v>
      </c>
      <c r="B29" s="31"/>
    </row>
    <row r="30" ht="15.75" spans="1:2">
      <c r="A30" s="32" t="s">
        <v>80</v>
      </c>
      <c r="B30" s="21"/>
    </row>
    <row r="31" ht="15" spans="1:2">
      <c r="A31" s="33"/>
      <c r="B31" s="34" t="s">
        <v>28</v>
      </c>
    </row>
    <row r="32" ht="14.25" spans="1:5">
      <c r="A32" s="35" t="s">
        <v>1</v>
      </c>
      <c r="B32" s="35" t="s">
        <v>29</v>
      </c>
      <c r="C32" s="35" t="s">
        <v>30</v>
      </c>
      <c r="D32" s="35" t="s">
        <v>31</v>
      </c>
      <c r="E32" s="35" t="s">
        <v>4</v>
      </c>
    </row>
    <row r="33" spans="1:5">
      <c r="A33" s="36" t="s">
        <v>81</v>
      </c>
      <c r="B33" s="3" t="s">
        <v>28</v>
      </c>
      <c r="C33" s="3" t="s">
        <v>82</v>
      </c>
      <c r="D33" s="3" t="s">
        <v>42</v>
      </c>
      <c r="E33" s="5" t="s">
        <v>83</v>
      </c>
    </row>
    <row r="35" ht="15" spans="1:2">
      <c r="A35" s="33"/>
      <c r="B35" s="34" t="s">
        <v>84</v>
      </c>
    </row>
    <row r="36" ht="14.25" spans="1:5">
      <c r="A36" s="35" t="s">
        <v>1</v>
      </c>
      <c r="B36" s="35" t="s">
        <v>29</v>
      </c>
      <c r="C36" s="35" t="s">
        <v>30</v>
      </c>
      <c r="D36" s="35" t="s">
        <v>31</v>
      </c>
      <c r="E36" s="35" t="s">
        <v>4</v>
      </c>
    </row>
    <row r="37" spans="1:5">
      <c r="A37" s="36" t="s">
        <v>85</v>
      </c>
      <c r="B37" s="3" t="s">
        <v>86</v>
      </c>
      <c r="C37" s="3" t="s">
        <v>82</v>
      </c>
      <c r="D37" s="3" t="s">
        <v>49</v>
      </c>
      <c r="E37" s="5" t="s">
        <v>87</v>
      </c>
    </row>
    <row r="40" ht="15.75" spans="1:2">
      <c r="A40" s="32" t="s">
        <v>27</v>
      </c>
      <c r="B40" s="21"/>
    </row>
    <row r="41" ht="15" spans="1:2">
      <c r="A41" s="33"/>
      <c r="B41" s="34" t="s">
        <v>28</v>
      </c>
    </row>
    <row r="42" ht="14.25" spans="1:5">
      <c r="A42" s="35" t="s">
        <v>1</v>
      </c>
      <c r="B42" s="35" t="s">
        <v>29</v>
      </c>
      <c r="C42" s="35" t="s">
        <v>30</v>
      </c>
      <c r="D42" s="35" t="s">
        <v>31</v>
      </c>
      <c r="E42" s="35" t="s">
        <v>4</v>
      </c>
    </row>
    <row r="43" spans="1:5">
      <c r="A43" s="36" t="s">
        <v>88</v>
      </c>
      <c r="B43" s="3" t="s">
        <v>28</v>
      </c>
      <c r="C43" s="3" t="s">
        <v>89</v>
      </c>
      <c r="D43" s="3" t="s">
        <v>54</v>
      </c>
      <c r="E43" s="5" t="s">
        <v>90</v>
      </c>
    </row>
    <row r="44" spans="1:5">
      <c r="A44" s="36" t="s">
        <v>91</v>
      </c>
      <c r="B44" s="3" t="s">
        <v>28</v>
      </c>
      <c r="C44" s="3" t="s">
        <v>33</v>
      </c>
      <c r="D44" s="3" t="s">
        <v>70</v>
      </c>
      <c r="E44" s="5" t="s">
        <v>92</v>
      </c>
    </row>
    <row r="46" ht="15" spans="1:2">
      <c r="A46" s="33"/>
      <c r="B46" s="34" t="s">
        <v>84</v>
      </c>
    </row>
    <row r="47" ht="14.25" spans="1:5">
      <c r="A47" s="35" t="s">
        <v>1</v>
      </c>
      <c r="B47" s="35" t="s">
        <v>29</v>
      </c>
      <c r="C47" s="35" t="s">
        <v>30</v>
      </c>
      <c r="D47" s="35" t="s">
        <v>31</v>
      </c>
      <c r="E47" s="35" t="s">
        <v>4</v>
      </c>
    </row>
    <row r="48" spans="1:5">
      <c r="A48" s="36" t="s">
        <v>93</v>
      </c>
      <c r="B48" s="3" t="s">
        <v>94</v>
      </c>
      <c r="C48" s="3" t="s">
        <v>95</v>
      </c>
      <c r="D48" s="3" t="s">
        <v>77</v>
      </c>
      <c r="E48" s="5" t="s">
        <v>96</v>
      </c>
    </row>
  </sheetData>
  <mergeCells count="16">
    <mergeCell ref="G3:J3"/>
    <mergeCell ref="A5:J5"/>
    <mergeCell ref="A9:J9"/>
    <mergeCell ref="A12:J12"/>
    <mergeCell ref="A15:J15"/>
    <mergeCell ref="A18:J18"/>
    <mergeCell ref="A3:A4"/>
    <mergeCell ref="B3:B4"/>
    <mergeCell ref="C3:C4"/>
    <mergeCell ref="D3:D4"/>
    <mergeCell ref="E3:E4"/>
    <mergeCell ref="F3:F4"/>
    <mergeCell ref="K3:K4"/>
    <mergeCell ref="L3:L4"/>
    <mergeCell ref="M3:M4"/>
    <mergeCell ref="A1:M2"/>
  </mergeCells>
  <pageMargins left="0.7" right="0.7" top="0.75" bottom="0.75" header="0.3" footer="0.3"/>
  <headerFooter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46"/>
  <sheetViews>
    <sheetView workbookViewId="0">
      <selection activeCell="A1" sqref="A1:Y2"/>
    </sheetView>
  </sheetViews>
  <sheetFormatPr defaultColWidth="9.11111111111111" defaultRowHeight="12.75"/>
  <cols>
    <col min="1" max="1" width="24.8888888888889" style="4" customWidth="1"/>
    <col min="2" max="2" width="26.5555555555556" style="3" customWidth="1"/>
    <col min="3" max="3" width="7.55555555555556" style="3" customWidth="1"/>
    <col min="4" max="4" width="6.55555555555556" style="3" customWidth="1"/>
    <col min="5" max="5" width="17" style="4" customWidth="1"/>
    <col min="6" max="6" width="14.7777777777778" style="4" customWidth="1"/>
    <col min="7" max="10" width="5.55555555555556" style="3" customWidth="1"/>
    <col min="11" max="11" width="5.77777777777778" style="5" customWidth="1"/>
    <col min="12" max="12" width="8.55555555555556" style="6" customWidth="1"/>
    <col min="13" max="13" width="10.7777777777778" style="4" customWidth="1"/>
    <col min="14" max="16384" width="9.11111111111111" style="7"/>
  </cols>
  <sheetData>
    <row r="1" s="1" customFormat="1" ht="28.95" customHeight="1" spans="1:13">
      <c r="A1" s="8" t="s">
        <v>810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37"/>
    </row>
    <row r="2" s="1" customFormat="1" ht="61.95" customHeight="1" spans="1:13">
      <c r="A2" s="10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38"/>
    </row>
    <row r="3" s="2" customFormat="1" customHeight="1" spans="1:13">
      <c r="A3" s="12" t="s">
        <v>1</v>
      </c>
      <c r="B3" s="13" t="s">
        <v>2</v>
      </c>
      <c r="C3" s="13" t="s">
        <v>3</v>
      </c>
      <c r="D3" s="14" t="s">
        <v>4</v>
      </c>
      <c r="E3" s="14" t="s">
        <v>5</v>
      </c>
      <c r="F3" s="14" t="s">
        <v>6</v>
      </c>
      <c r="G3" s="14" t="s">
        <v>732</v>
      </c>
      <c r="H3" s="14"/>
      <c r="I3" s="14"/>
      <c r="J3" s="14"/>
      <c r="K3" s="14" t="s">
        <v>8</v>
      </c>
      <c r="L3" s="14" t="s">
        <v>9</v>
      </c>
      <c r="M3" s="39" t="s">
        <v>10</v>
      </c>
    </row>
    <row r="4" s="2" customFormat="1" ht="23.25" customHeight="1" spans="1:13">
      <c r="A4" s="15"/>
      <c r="B4" s="16"/>
      <c r="C4" s="16"/>
      <c r="D4" s="16"/>
      <c r="E4" s="16"/>
      <c r="F4" s="16"/>
      <c r="G4" s="16">
        <v>1</v>
      </c>
      <c r="H4" s="16">
        <v>2</v>
      </c>
      <c r="I4" s="16">
        <v>3</v>
      </c>
      <c r="J4" s="16" t="s">
        <v>11</v>
      </c>
      <c r="K4" s="16"/>
      <c r="L4" s="16"/>
      <c r="M4" s="40"/>
    </row>
    <row r="5" s="3" customFormat="1" ht="15.75" spans="1:13">
      <c r="A5" s="17" t="s">
        <v>811</v>
      </c>
      <c r="B5" s="18"/>
      <c r="C5" s="18"/>
      <c r="D5" s="18"/>
      <c r="E5" s="18"/>
      <c r="F5" s="18"/>
      <c r="G5" s="18"/>
      <c r="H5" s="18"/>
      <c r="I5" s="18"/>
      <c r="J5" s="18"/>
      <c r="K5" s="5"/>
      <c r="L5" s="6"/>
      <c r="M5" s="4"/>
    </row>
    <row r="6" s="3" customFormat="1" spans="1:13">
      <c r="A6" s="19" t="s">
        <v>812</v>
      </c>
      <c r="B6" s="20" t="s">
        <v>813</v>
      </c>
      <c r="C6" s="20" t="s">
        <v>814</v>
      </c>
      <c r="D6" s="20" t="str">
        <f>"1,0591"</f>
        <v>1,0591</v>
      </c>
      <c r="E6" s="19" t="s">
        <v>62</v>
      </c>
      <c r="F6" s="19" t="s">
        <v>742</v>
      </c>
      <c r="G6" s="20" t="s">
        <v>403</v>
      </c>
      <c r="H6" s="41" t="s">
        <v>442</v>
      </c>
      <c r="I6" s="41"/>
      <c r="J6" s="41"/>
      <c r="K6" s="42" t="str">
        <f>"80,0"</f>
        <v>80,0</v>
      </c>
      <c r="L6" s="43" t="str">
        <f>"84,7280"</f>
        <v>84,7280</v>
      </c>
      <c r="M6" s="19"/>
    </row>
    <row r="7" s="3" customFormat="1" spans="1:13">
      <c r="A7" s="4"/>
      <c r="E7" s="4"/>
      <c r="F7" s="4"/>
      <c r="K7" s="5"/>
      <c r="L7" s="6"/>
      <c r="M7" s="4"/>
    </row>
    <row r="8" ht="15.75" spans="1:10">
      <c r="A8" s="21" t="s">
        <v>58</v>
      </c>
      <c r="B8" s="22"/>
      <c r="C8" s="22"/>
      <c r="D8" s="22"/>
      <c r="E8" s="22"/>
      <c r="F8" s="22"/>
      <c r="G8" s="22"/>
      <c r="H8" s="22"/>
      <c r="I8" s="22"/>
      <c r="J8" s="22"/>
    </row>
    <row r="9" spans="1:13">
      <c r="A9" s="23" t="s">
        <v>815</v>
      </c>
      <c r="B9" s="24" t="s">
        <v>816</v>
      </c>
      <c r="C9" s="24" t="s">
        <v>61</v>
      </c>
      <c r="D9" s="24" t="str">
        <f>"0,6161"</f>
        <v>0,6161</v>
      </c>
      <c r="E9" s="23" t="s">
        <v>62</v>
      </c>
      <c r="F9" s="23" t="s">
        <v>40</v>
      </c>
      <c r="G9" s="24" t="s">
        <v>47</v>
      </c>
      <c r="H9" s="24" t="s">
        <v>48</v>
      </c>
      <c r="I9" s="24" t="s">
        <v>49</v>
      </c>
      <c r="J9" s="24" t="s">
        <v>119</v>
      </c>
      <c r="K9" s="44" t="str">
        <f>"150,0"</f>
        <v>150,0</v>
      </c>
      <c r="L9" s="45" t="str">
        <f>"92,4075"</f>
        <v>92,4075</v>
      </c>
      <c r="M9" s="23" t="s">
        <v>817</v>
      </c>
    </row>
    <row r="10" spans="1:13">
      <c r="A10" s="25" t="s">
        <v>744</v>
      </c>
      <c r="B10" s="26" t="s">
        <v>745</v>
      </c>
      <c r="C10" s="26" t="s">
        <v>746</v>
      </c>
      <c r="D10" s="26" t="str">
        <f>"0,6436"</f>
        <v>0,6436</v>
      </c>
      <c r="E10" s="25" t="s">
        <v>747</v>
      </c>
      <c r="F10" s="25" t="s">
        <v>748</v>
      </c>
      <c r="G10" s="26" t="s">
        <v>317</v>
      </c>
      <c r="H10" s="26" t="s">
        <v>41</v>
      </c>
      <c r="I10" s="46" t="s">
        <v>42</v>
      </c>
      <c r="J10" s="46"/>
      <c r="K10" s="47" t="str">
        <f>"125,0"</f>
        <v>125,0</v>
      </c>
      <c r="L10" s="48" t="str">
        <f>"121,5599"</f>
        <v>121,5599</v>
      </c>
      <c r="M10" s="25"/>
    </row>
    <row r="12" ht="15.75" spans="1:10">
      <c r="A12" s="21" t="s">
        <v>104</v>
      </c>
      <c r="B12" s="22"/>
      <c r="C12" s="22"/>
      <c r="D12" s="22"/>
      <c r="E12" s="22"/>
      <c r="F12" s="22"/>
      <c r="G12" s="22"/>
      <c r="H12" s="22"/>
      <c r="I12" s="22"/>
      <c r="J12" s="22"/>
    </row>
    <row r="13" spans="1:13">
      <c r="A13" s="19" t="s">
        <v>699</v>
      </c>
      <c r="B13" s="20" t="s">
        <v>700</v>
      </c>
      <c r="C13" s="20" t="s">
        <v>473</v>
      </c>
      <c r="D13" s="20" t="str">
        <f>"0,5843"</f>
        <v>0,5843</v>
      </c>
      <c r="E13" s="19" t="s">
        <v>62</v>
      </c>
      <c r="F13" s="19" t="s">
        <v>701</v>
      </c>
      <c r="G13" s="20" t="s">
        <v>41</v>
      </c>
      <c r="H13" s="41" t="s">
        <v>42</v>
      </c>
      <c r="I13" s="41"/>
      <c r="J13" s="41"/>
      <c r="K13" s="42" t="str">
        <f>"125,0"</f>
        <v>125,0</v>
      </c>
      <c r="L13" s="43" t="str">
        <f>"117,5904"</f>
        <v>117,5904</v>
      </c>
      <c r="M13" s="19"/>
    </row>
    <row r="15" ht="15.75" spans="1:10">
      <c r="A15" s="21" t="s">
        <v>12</v>
      </c>
      <c r="B15" s="22"/>
      <c r="C15" s="22"/>
      <c r="D15" s="22"/>
      <c r="E15" s="22"/>
      <c r="F15" s="22"/>
      <c r="G15" s="22"/>
      <c r="H15" s="22"/>
      <c r="I15" s="22"/>
      <c r="J15" s="22"/>
    </row>
    <row r="16" spans="1:13">
      <c r="A16" s="19" t="s">
        <v>818</v>
      </c>
      <c r="B16" s="20" t="s">
        <v>819</v>
      </c>
      <c r="C16" s="20" t="s">
        <v>820</v>
      </c>
      <c r="D16" s="20" t="str">
        <f>"0,5648"</f>
        <v>0,5648</v>
      </c>
      <c r="E16" s="19" t="s">
        <v>62</v>
      </c>
      <c r="F16" s="19" t="s">
        <v>40</v>
      </c>
      <c r="G16" s="20" t="s">
        <v>47</v>
      </c>
      <c r="H16" s="20" t="s">
        <v>49</v>
      </c>
      <c r="I16" s="20" t="s">
        <v>119</v>
      </c>
      <c r="J16" s="20" t="s">
        <v>325</v>
      </c>
      <c r="K16" s="42" t="str">
        <f>"175,0"</f>
        <v>175,0</v>
      </c>
      <c r="L16" s="43" t="str">
        <f>"98,8487"</f>
        <v>98,8487</v>
      </c>
      <c r="M16" s="19"/>
    </row>
    <row r="18" ht="15.75" spans="1:10">
      <c r="A18" s="21" t="s">
        <v>72</v>
      </c>
      <c r="B18" s="22"/>
      <c r="C18" s="22"/>
      <c r="D18" s="22"/>
      <c r="E18" s="22"/>
      <c r="F18" s="22"/>
      <c r="G18" s="22"/>
      <c r="H18" s="22"/>
      <c r="I18" s="22"/>
      <c r="J18" s="22"/>
    </row>
    <row r="19" spans="1:13">
      <c r="A19" s="19" t="s">
        <v>821</v>
      </c>
      <c r="B19" s="20" t="s">
        <v>822</v>
      </c>
      <c r="C19" s="20" t="s">
        <v>823</v>
      </c>
      <c r="D19" s="20" t="str">
        <f>"0,5537"</f>
        <v>0,5537</v>
      </c>
      <c r="E19" s="19" t="s">
        <v>747</v>
      </c>
      <c r="F19" s="19" t="s">
        <v>748</v>
      </c>
      <c r="G19" s="20" t="s">
        <v>49</v>
      </c>
      <c r="H19" s="20" t="s">
        <v>325</v>
      </c>
      <c r="I19" s="20" t="s">
        <v>326</v>
      </c>
      <c r="J19" s="20" t="s">
        <v>330</v>
      </c>
      <c r="K19" s="42" t="str">
        <f>"172,5"</f>
        <v>172,5</v>
      </c>
      <c r="L19" s="43" t="str">
        <f>"95,5219"</f>
        <v>95,5219</v>
      </c>
      <c r="M19" s="19"/>
    </row>
    <row r="21" ht="15.75" spans="5:5">
      <c r="E21" s="29" t="s">
        <v>20</v>
      </c>
    </row>
    <row r="22" ht="15.75" spans="5:5">
      <c r="E22" s="29" t="s">
        <v>21</v>
      </c>
    </row>
    <row r="23" ht="15.75" spans="5:5">
      <c r="E23" s="29" t="s">
        <v>22</v>
      </c>
    </row>
    <row r="24" spans="5:5">
      <c r="E24" s="4" t="s">
        <v>23</v>
      </c>
    </row>
    <row r="25" spans="5:5">
      <c r="E25" s="4" t="s">
        <v>24</v>
      </c>
    </row>
    <row r="26" spans="5:5">
      <c r="E26" s="4" t="s">
        <v>25</v>
      </c>
    </row>
    <row r="29" ht="18.75" spans="1:2">
      <c r="A29" s="30" t="s">
        <v>26</v>
      </c>
      <c r="B29" s="31"/>
    </row>
    <row r="30" ht="15.75" spans="1:2">
      <c r="A30" s="32" t="s">
        <v>80</v>
      </c>
      <c r="B30" s="21"/>
    </row>
    <row r="31" ht="15" spans="1:2">
      <c r="A31" s="33"/>
      <c r="B31" s="34" t="s">
        <v>28</v>
      </c>
    </row>
    <row r="32" ht="14.25" spans="1:5">
      <c r="A32" s="35" t="s">
        <v>1</v>
      </c>
      <c r="B32" s="35" t="s">
        <v>29</v>
      </c>
      <c r="C32" s="35" t="s">
        <v>30</v>
      </c>
      <c r="D32" s="35" t="s">
        <v>31</v>
      </c>
      <c r="E32" s="35" t="s">
        <v>4</v>
      </c>
    </row>
    <row r="33" spans="1:5">
      <c r="A33" s="36" t="s">
        <v>824</v>
      </c>
      <c r="B33" s="3" t="s">
        <v>28</v>
      </c>
      <c r="C33" s="3" t="s">
        <v>825</v>
      </c>
      <c r="D33" s="3" t="s">
        <v>403</v>
      </c>
      <c r="E33" s="5" t="s">
        <v>826</v>
      </c>
    </row>
    <row r="36" ht="15.75" spans="1:2">
      <c r="A36" s="32" t="s">
        <v>27</v>
      </c>
      <c r="B36" s="21"/>
    </row>
    <row r="37" ht="15" spans="1:2">
      <c r="A37" s="33"/>
      <c r="B37" s="34" t="s">
        <v>28</v>
      </c>
    </row>
    <row r="38" ht="14.25" spans="1:5">
      <c r="A38" s="35" t="s">
        <v>1</v>
      </c>
      <c r="B38" s="35" t="s">
        <v>29</v>
      </c>
      <c r="C38" s="35" t="s">
        <v>30</v>
      </c>
      <c r="D38" s="35" t="s">
        <v>31</v>
      </c>
      <c r="E38" s="35" t="s">
        <v>4</v>
      </c>
    </row>
    <row r="39" spans="1:5">
      <c r="A39" s="36" t="s">
        <v>827</v>
      </c>
      <c r="B39" s="3" t="s">
        <v>28</v>
      </c>
      <c r="C39" s="3" t="s">
        <v>33</v>
      </c>
      <c r="D39" s="3" t="s">
        <v>344</v>
      </c>
      <c r="E39" s="5" t="s">
        <v>828</v>
      </c>
    </row>
    <row r="40" spans="1:5">
      <c r="A40" s="36" t="s">
        <v>817</v>
      </c>
      <c r="B40" s="3" t="s">
        <v>28</v>
      </c>
      <c r="C40" s="3" t="s">
        <v>95</v>
      </c>
      <c r="D40" s="3" t="s">
        <v>330</v>
      </c>
      <c r="E40" s="5" t="s">
        <v>829</v>
      </c>
    </row>
    <row r="41" spans="1:5">
      <c r="A41" s="36" t="s">
        <v>830</v>
      </c>
      <c r="B41" s="3" t="s">
        <v>28</v>
      </c>
      <c r="C41" s="3" t="s">
        <v>196</v>
      </c>
      <c r="D41" s="3" t="s">
        <v>119</v>
      </c>
      <c r="E41" s="5" t="s">
        <v>831</v>
      </c>
    </row>
    <row r="43" ht="15" spans="1:2">
      <c r="A43" s="33"/>
      <c r="B43" s="34" t="s">
        <v>84</v>
      </c>
    </row>
    <row r="44" ht="14.25" spans="1:5">
      <c r="A44" s="35" t="s">
        <v>1</v>
      </c>
      <c r="B44" s="35" t="s">
        <v>29</v>
      </c>
      <c r="C44" s="35" t="s">
        <v>30</v>
      </c>
      <c r="D44" s="35" t="s">
        <v>31</v>
      </c>
      <c r="E44" s="35" t="s">
        <v>4</v>
      </c>
    </row>
    <row r="45" spans="1:5">
      <c r="A45" s="36" t="s">
        <v>767</v>
      </c>
      <c r="B45" s="3" t="s">
        <v>720</v>
      </c>
      <c r="C45" s="3" t="s">
        <v>196</v>
      </c>
      <c r="D45" s="3" t="s">
        <v>41</v>
      </c>
      <c r="E45" s="5" t="s">
        <v>832</v>
      </c>
    </row>
    <row r="46" spans="1:5">
      <c r="A46" s="36" t="s">
        <v>719</v>
      </c>
      <c r="B46" s="3" t="s">
        <v>720</v>
      </c>
      <c r="C46" s="3" t="s">
        <v>136</v>
      </c>
      <c r="D46" s="3" t="s">
        <v>41</v>
      </c>
      <c r="E46" s="5" t="s">
        <v>833</v>
      </c>
    </row>
  </sheetData>
  <mergeCells count="16">
    <mergeCell ref="G3:J3"/>
    <mergeCell ref="A5:J5"/>
    <mergeCell ref="A8:J8"/>
    <mergeCell ref="A12:J12"/>
    <mergeCell ref="A15:J15"/>
    <mergeCell ref="A18:J18"/>
    <mergeCell ref="A3:A4"/>
    <mergeCell ref="B3:B4"/>
    <mergeCell ref="C3:C4"/>
    <mergeCell ref="D3:D4"/>
    <mergeCell ref="E3:E4"/>
    <mergeCell ref="F3:F4"/>
    <mergeCell ref="K3:K4"/>
    <mergeCell ref="L3:L4"/>
    <mergeCell ref="M3:M4"/>
    <mergeCell ref="A1:M2"/>
  </mergeCells>
  <pageMargins left="0.7" right="0.7" top="0.75" bottom="0.75" header="0.3" footer="0.3"/>
  <headerFooter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Лист5">
    <pageSetUpPr fitToPage="1"/>
  </sheetPr>
  <dimension ref="A1:M56"/>
  <sheetViews>
    <sheetView workbookViewId="0">
      <selection activeCell="A1" sqref="A1:Y2"/>
    </sheetView>
  </sheetViews>
  <sheetFormatPr defaultColWidth="9.11111111111111" defaultRowHeight="12.75"/>
  <cols>
    <col min="1" max="1" width="24.8888888888889" style="4" customWidth="1"/>
    <col min="2" max="2" width="26.5555555555556" style="3" customWidth="1"/>
    <col min="3" max="3" width="7.55555555555556" style="3" customWidth="1"/>
    <col min="4" max="4" width="6.55555555555556" style="3" customWidth="1"/>
    <col min="5" max="5" width="17" style="4" customWidth="1"/>
    <col min="6" max="6" width="14.7777777777778" style="4" customWidth="1"/>
    <col min="7" max="8" width="4.55555555555556" style="3" customWidth="1"/>
    <col min="9" max="9" width="5.55555555555556" style="3" customWidth="1"/>
    <col min="10" max="10" width="4.77777777777778" style="3" customWidth="1"/>
    <col min="11" max="11" width="5.77777777777778" style="5" customWidth="1"/>
    <col min="12" max="12" width="7.55555555555556" style="6" customWidth="1"/>
    <col min="13" max="13" width="10.7777777777778" style="4" customWidth="1"/>
    <col min="14" max="16384" width="9.11111111111111" style="7"/>
  </cols>
  <sheetData>
    <row r="1" s="1" customFormat="1" ht="28.95" customHeight="1" spans="1:13">
      <c r="A1" s="8" t="s">
        <v>834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37"/>
    </row>
    <row r="2" s="1" customFormat="1" ht="61.95" customHeight="1" spans="1:13">
      <c r="A2" s="10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38"/>
    </row>
    <row r="3" s="2" customFormat="1" customHeight="1" spans="1:13">
      <c r="A3" s="12" t="s">
        <v>1</v>
      </c>
      <c r="B3" s="13" t="s">
        <v>2</v>
      </c>
      <c r="C3" s="13" t="s">
        <v>3</v>
      </c>
      <c r="D3" s="14" t="s">
        <v>4</v>
      </c>
      <c r="E3" s="14" t="s">
        <v>5</v>
      </c>
      <c r="F3" s="14" t="s">
        <v>6</v>
      </c>
      <c r="G3" s="14" t="s">
        <v>732</v>
      </c>
      <c r="H3" s="14"/>
      <c r="I3" s="14"/>
      <c r="J3" s="14"/>
      <c r="K3" s="14" t="s">
        <v>8</v>
      </c>
      <c r="L3" s="14" t="s">
        <v>9</v>
      </c>
      <c r="M3" s="39" t="s">
        <v>10</v>
      </c>
    </row>
    <row r="4" s="2" customFormat="1" ht="23.25" customHeight="1" spans="1:13">
      <c r="A4" s="15"/>
      <c r="B4" s="16"/>
      <c r="C4" s="16"/>
      <c r="D4" s="16"/>
      <c r="E4" s="16"/>
      <c r="F4" s="16"/>
      <c r="G4" s="16">
        <v>1</v>
      </c>
      <c r="H4" s="16">
        <v>2</v>
      </c>
      <c r="I4" s="16">
        <v>3</v>
      </c>
      <c r="J4" s="16" t="s">
        <v>11</v>
      </c>
      <c r="K4" s="16"/>
      <c r="L4" s="16"/>
      <c r="M4" s="40"/>
    </row>
    <row r="5" s="3" customFormat="1" ht="15.75" spans="1:13">
      <c r="A5" s="17" t="s">
        <v>738</v>
      </c>
      <c r="B5" s="18"/>
      <c r="C5" s="18"/>
      <c r="D5" s="18"/>
      <c r="E5" s="18"/>
      <c r="F5" s="18"/>
      <c r="G5" s="18"/>
      <c r="H5" s="18"/>
      <c r="I5" s="18"/>
      <c r="J5" s="18"/>
      <c r="K5" s="5"/>
      <c r="L5" s="6"/>
      <c r="M5" s="4"/>
    </row>
    <row r="6" s="3" customFormat="1" spans="1:13">
      <c r="A6" s="19" t="s">
        <v>835</v>
      </c>
      <c r="B6" s="20" t="s">
        <v>836</v>
      </c>
      <c r="C6" s="20" t="s">
        <v>837</v>
      </c>
      <c r="D6" s="20" t="str">
        <f>"0,6623"</f>
        <v>0,6623</v>
      </c>
      <c r="E6" s="19" t="s">
        <v>62</v>
      </c>
      <c r="F6" s="19" t="s">
        <v>40</v>
      </c>
      <c r="G6" s="20" t="s">
        <v>838</v>
      </c>
      <c r="H6" s="20" t="s">
        <v>279</v>
      </c>
      <c r="I6" s="41" t="s">
        <v>839</v>
      </c>
      <c r="J6" s="41"/>
      <c r="K6" s="42" t="str">
        <f>"70,5"</f>
        <v>70,5</v>
      </c>
      <c r="L6" s="43" t="str">
        <f>"46,6957"</f>
        <v>46,6957</v>
      </c>
      <c r="M6" s="19"/>
    </row>
    <row r="7" s="3" customFormat="1" spans="1:13">
      <c r="A7" s="4"/>
      <c r="E7" s="4"/>
      <c r="F7" s="4"/>
      <c r="K7" s="5"/>
      <c r="L7" s="6"/>
      <c r="M7" s="4"/>
    </row>
    <row r="8" ht="15.75" spans="1:10">
      <c r="A8" s="21" t="s">
        <v>58</v>
      </c>
      <c r="B8" s="22"/>
      <c r="C8" s="22"/>
      <c r="D8" s="22"/>
      <c r="E8" s="22"/>
      <c r="F8" s="22"/>
      <c r="G8" s="22"/>
      <c r="H8" s="22"/>
      <c r="I8" s="22"/>
      <c r="J8" s="22"/>
    </row>
    <row r="9" spans="1:13">
      <c r="A9" s="23" t="s">
        <v>815</v>
      </c>
      <c r="B9" s="24" t="s">
        <v>816</v>
      </c>
      <c r="C9" s="24" t="s">
        <v>61</v>
      </c>
      <c r="D9" s="24" t="str">
        <f>"0,6161"</f>
        <v>0,6161</v>
      </c>
      <c r="E9" s="23" t="s">
        <v>62</v>
      </c>
      <c r="F9" s="23" t="s">
        <v>40</v>
      </c>
      <c r="G9" s="24" t="s">
        <v>840</v>
      </c>
      <c r="H9" s="24" t="s">
        <v>841</v>
      </c>
      <c r="I9" s="24" t="s">
        <v>842</v>
      </c>
      <c r="J9" s="24" t="s">
        <v>838</v>
      </c>
      <c r="K9" s="44" t="str">
        <f>"70,5"</f>
        <v>70,5</v>
      </c>
      <c r="L9" s="45" t="str">
        <f>"43,4315"</f>
        <v>43,4315</v>
      </c>
      <c r="M9" s="23" t="s">
        <v>817</v>
      </c>
    </row>
    <row r="10" spans="1:13">
      <c r="A10" s="25" t="s">
        <v>744</v>
      </c>
      <c r="B10" s="26" t="s">
        <v>745</v>
      </c>
      <c r="C10" s="26" t="s">
        <v>746</v>
      </c>
      <c r="D10" s="26" t="str">
        <f>"0,6436"</f>
        <v>0,6436</v>
      </c>
      <c r="E10" s="25" t="s">
        <v>747</v>
      </c>
      <c r="F10" s="25" t="s">
        <v>748</v>
      </c>
      <c r="G10" s="26" t="s">
        <v>840</v>
      </c>
      <c r="H10" s="26" t="s">
        <v>841</v>
      </c>
      <c r="I10" s="26" t="s">
        <v>842</v>
      </c>
      <c r="J10" s="46"/>
      <c r="K10" s="47" t="str">
        <f>"60,5"</f>
        <v>60,5</v>
      </c>
      <c r="L10" s="48" t="str">
        <f>"58,8350"</f>
        <v>58,8350</v>
      </c>
      <c r="M10" s="25"/>
    </row>
    <row r="12" ht="15.75" spans="1:10">
      <c r="A12" s="21" t="s">
        <v>104</v>
      </c>
      <c r="B12" s="22"/>
      <c r="C12" s="22"/>
      <c r="D12" s="22"/>
      <c r="E12" s="22"/>
      <c r="F12" s="22"/>
      <c r="G12" s="22"/>
      <c r="H12" s="22"/>
      <c r="I12" s="22"/>
      <c r="J12" s="22"/>
    </row>
    <row r="13" spans="1:13">
      <c r="A13" s="23" t="s">
        <v>749</v>
      </c>
      <c r="B13" s="24" t="s">
        <v>750</v>
      </c>
      <c r="C13" s="24" t="s">
        <v>751</v>
      </c>
      <c r="D13" s="24" t="str">
        <f>"0,5958"</f>
        <v>0,5958</v>
      </c>
      <c r="E13" s="23" t="s">
        <v>62</v>
      </c>
      <c r="F13" s="23" t="s">
        <v>752</v>
      </c>
      <c r="G13" s="24" t="s">
        <v>838</v>
      </c>
      <c r="H13" s="24" t="s">
        <v>279</v>
      </c>
      <c r="I13" s="24" t="s">
        <v>839</v>
      </c>
      <c r="J13" s="49" t="s">
        <v>843</v>
      </c>
      <c r="K13" s="44" t="str">
        <f>"75,5"</f>
        <v>75,5</v>
      </c>
      <c r="L13" s="45" t="str">
        <f>"44,9867"</f>
        <v>44,9867</v>
      </c>
      <c r="M13" s="23"/>
    </row>
    <row r="14" spans="1:13">
      <c r="A14" s="27" t="s">
        <v>753</v>
      </c>
      <c r="B14" s="28" t="s">
        <v>754</v>
      </c>
      <c r="C14" s="28" t="s">
        <v>755</v>
      </c>
      <c r="D14" s="28" t="str">
        <f>"0,5971"</f>
        <v>0,5971</v>
      </c>
      <c r="E14" s="27" t="s">
        <v>62</v>
      </c>
      <c r="F14" s="27" t="s">
        <v>752</v>
      </c>
      <c r="G14" s="28" t="s">
        <v>844</v>
      </c>
      <c r="H14" s="28" t="s">
        <v>845</v>
      </c>
      <c r="I14" s="50" t="s">
        <v>846</v>
      </c>
      <c r="J14" s="50"/>
      <c r="K14" s="51" t="str">
        <f>"98,0"</f>
        <v>98,0</v>
      </c>
      <c r="L14" s="52" t="str">
        <f>"58,5158"</f>
        <v>58,5158</v>
      </c>
      <c r="M14" s="27"/>
    </row>
    <row r="15" spans="1:13">
      <c r="A15" s="25" t="s">
        <v>847</v>
      </c>
      <c r="B15" s="26" t="s">
        <v>848</v>
      </c>
      <c r="C15" s="26" t="s">
        <v>849</v>
      </c>
      <c r="D15" s="26" t="str">
        <f>"0,5861"</f>
        <v>0,5861</v>
      </c>
      <c r="E15" s="25" t="s">
        <v>62</v>
      </c>
      <c r="F15" s="25" t="s">
        <v>692</v>
      </c>
      <c r="G15" s="26" t="s">
        <v>841</v>
      </c>
      <c r="H15" s="26" t="s">
        <v>842</v>
      </c>
      <c r="I15" s="26" t="s">
        <v>838</v>
      </c>
      <c r="J15" s="46"/>
      <c r="K15" s="47" t="str">
        <f>"65,5"</f>
        <v>65,5</v>
      </c>
      <c r="L15" s="48" t="str">
        <f>"52,4446"</f>
        <v>52,4446</v>
      </c>
      <c r="M15" s="25"/>
    </row>
    <row r="17" ht="15.75" spans="1:10">
      <c r="A17" s="21" t="s">
        <v>12</v>
      </c>
      <c r="B17" s="22"/>
      <c r="C17" s="22"/>
      <c r="D17" s="22"/>
      <c r="E17" s="22"/>
      <c r="F17" s="22"/>
      <c r="G17" s="22"/>
      <c r="H17" s="22"/>
      <c r="I17" s="22"/>
      <c r="J17" s="22"/>
    </row>
    <row r="18" spans="1:13">
      <c r="A18" s="23" t="s">
        <v>787</v>
      </c>
      <c r="B18" s="24" t="s">
        <v>850</v>
      </c>
      <c r="C18" s="24" t="s">
        <v>789</v>
      </c>
      <c r="D18" s="24" t="str">
        <f>"0,5632"</f>
        <v>0,5632</v>
      </c>
      <c r="E18" s="23" t="s">
        <v>62</v>
      </c>
      <c r="F18" s="23" t="s">
        <v>607</v>
      </c>
      <c r="G18" s="24" t="s">
        <v>851</v>
      </c>
      <c r="H18" s="24" t="s">
        <v>852</v>
      </c>
      <c r="I18" s="24" t="s">
        <v>853</v>
      </c>
      <c r="J18" s="24" t="s">
        <v>843</v>
      </c>
      <c r="K18" s="44" t="str">
        <f>"80,5"</f>
        <v>80,5</v>
      </c>
      <c r="L18" s="45" t="str">
        <f>"45,3376"</f>
        <v>45,3376</v>
      </c>
      <c r="M18" s="23"/>
    </row>
    <row r="19" spans="1:13">
      <c r="A19" s="25" t="s">
        <v>787</v>
      </c>
      <c r="B19" s="26" t="s">
        <v>788</v>
      </c>
      <c r="C19" s="26" t="s">
        <v>789</v>
      </c>
      <c r="D19" s="26" t="str">
        <f>"0,5632"</f>
        <v>0,5632</v>
      </c>
      <c r="E19" s="25" t="s">
        <v>62</v>
      </c>
      <c r="F19" s="25" t="s">
        <v>607</v>
      </c>
      <c r="G19" s="26" t="s">
        <v>851</v>
      </c>
      <c r="H19" s="26" t="s">
        <v>852</v>
      </c>
      <c r="I19" s="26" t="s">
        <v>853</v>
      </c>
      <c r="J19" s="26" t="s">
        <v>843</v>
      </c>
      <c r="K19" s="47" t="str">
        <f>"80,5"</f>
        <v>80,5</v>
      </c>
      <c r="L19" s="48" t="str">
        <f>"58,5308"</f>
        <v>58,5308</v>
      </c>
      <c r="M19" s="25"/>
    </row>
    <row r="21" ht="15.75" spans="1:10">
      <c r="A21" s="21" t="s">
        <v>72</v>
      </c>
      <c r="B21" s="22"/>
      <c r="C21" s="22"/>
      <c r="D21" s="22"/>
      <c r="E21" s="22"/>
      <c r="F21" s="22"/>
      <c r="G21" s="22"/>
      <c r="H21" s="22"/>
      <c r="I21" s="22"/>
      <c r="J21" s="22"/>
    </row>
    <row r="22" spans="1:13">
      <c r="A22" s="23" t="s">
        <v>821</v>
      </c>
      <c r="B22" s="24" t="s">
        <v>822</v>
      </c>
      <c r="C22" s="24" t="s">
        <v>823</v>
      </c>
      <c r="D22" s="24" t="str">
        <f>"0,5537"</f>
        <v>0,5537</v>
      </c>
      <c r="E22" s="23" t="s">
        <v>747</v>
      </c>
      <c r="F22" s="23" t="s">
        <v>748</v>
      </c>
      <c r="G22" s="24" t="s">
        <v>279</v>
      </c>
      <c r="H22" s="24" t="s">
        <v>854</v>
      </c>
      <c r="I22" s="24" t="s">
        <v>855</v>
      </c>
      <c r="J22" s="49" t="s">
        <v>856</v>
      </c>
      <c r="K22" s="44" t="str">
        <f>"85,5"</f>
        <v>85,5</v>
      </c>
      <c r="L22" s="45" t="str">
        <f>"47,3456"</f>
        <v>47,3456</v>
      </c>
      <c r="M22" s="23"/>
    </row>
    <row r="23" spans="1:13">
      <c r="A23" s="27" t="s">
        <v>857</v>
      </c>
      <c r="B23" s="28" t="s">
        <v>706</v>
      </c>
      <c r="C23" s="28" t="s">
        <v>707</v>
      </c>
      <c r="D23" s="28" t="str">
        <f>"0,5501"</f>
        <v>0,5501</v>
      </c>
      <c r="E23" s="27" t="s">
        <v>62</v>
      </c>
      <c r="F23" s="27" t="s">
        <v>599</v>
      </c>
      <c r="G23" s="28" t="s">
        <v>858</v>
      </c>
      <c r="H23" s="28" t="s">
        <v>859</v>
      </c>
      <c r="I23" s="28" t="s">
        <v>860</v>
      </c>
      <c r="J23" s="28" t="s">
        <v>838</v>
      </c>
      <c r="K23" s="51" t="str">
        <f>"68,0"</f>
        <v>68,0</v>
      </c>
      <c r="L23" s="52" t="str">
        <f>"37,4068"</f>
        <v>37,4068</v>
      </c>
      <c r="M23" s="27"/>
    </row>
    <row r="24" spans="1:13">
      <c r="A24" s="27" t="s">
        <v>705</v>
      </c>
      <c r="B24" s="28" t="s">
        <v>708</v>
      </c>
      <c r="C24" s="28" t="s">
        <v>707</v>
      </c>
      <c r="D24" s="28" t="str">
        <f>"0,5501"</f>
        <v>0,5501</v>
      </c>
      <c r="E24" s="27" t="s">
        <v>62</v>
      </c>
      <c r="F24" s="27" t="s">
        <v>599</v>
      </c>
      <c r="G24" s="28" t="s">
        <v>858</v>
      </c>
      <c r="H24" s="28" t="s">
        <v>859</v>
      </c>
      <c r="I24" s="28" t="s">
        <v>860</v>
      </c>
      <c r="J24" s="28" t="s">
        <v>838</v>
      </c>
      <c r="K24" s="51" t="str">
        <f>"68,0"</f>
        <v>68,0</v>
      </c>
      <c r="L24" s="52" t="str">
        <f>"46,6089"</f>
        <v>46,6089</v>
      </c>
      <c r="M24" s="27"/>
    </row>
    <row r="25" spans="1:13">
      <c r="A25" s="25" t="s">
        <v>709</v>
      </c>
      <c r="B25" s="26" t="s">
        <v>710</v>
      </c>
      <c r="C25" s="26" t="s">
        <v>711</v>
      </c>
      <c r="D25" s="26" t="str">
        <f>"0,5487"</f>
        <v>0,5487</v>
      </c>
      <c r="E25" s="25" t="s">
        <v>62</v>
      </c>
      <c r="F25" s="25" t="s">
        <v>40</v>
      </c>
      <c r="G25" s="26" t="s">
        <v>842</v>
      </c>
      <c r="H25" s="26" t="s">
        <v>838</v>
      </c>
      <c r="I25" s="46" t="s">
        <v>279</v>
      </c>
      <c r="J25" s="46"/>
      <c r="K25" s="47" t="str">
        <f>"65,5"</f>
        <v>65,5</v>
      </c>
      <c r="L25" s="48" t="str">
        <f>"54,3002"</f>
        <v>54,3002</v>
      </c>
      <c r="M25" s="25"/>
    </row>
    <row r="27" ht="15.75" spans="5:5">
      <c r="E27" s="29" t="s">
        <v>20</v>
      </c>
    </row>
    <row r="28" ht="15.75" spans="5:5">
      <c r="E28" s="29" t="s">
        <v>21</v>
      </c>
    </row>
    <row r="29" ht="15.75" spans="5:5">
      <c r="E29" s="29" t="s">
        <v>22</v>
      </c>
    </row>
    <row r="30" spans="5:5">
      <c r="E30" s="4" t="s">
        <v>23</v>
      </c>
    </row>
    <row r="31" spans="5:5">
      <c r="E31" s="4" t="s">
        <v>24</v>
      </c>
    </row>
    <row r="32" spans="5:5">
      <c r="E32" s="4" t="s">
        <v>25</v>
      </c>
    </row>
    <row r="35" ht="18.75" spans="1:2">
      <c r="A35" s="30" t="s">
        <v>26</v>
      </c>
      <c r="B35" s="31"/>
    </row>
    <row r="36" ht="15.75" spans="1:2">
      <c r="A36" s="32" t="s">
        <v>27</v>
      </c>
      <c r="B36" s="21"/>
    </row>
    <row r="37" ht="15" spans="1:2">
      <c r="A37" s="33"/>
      <c r="B37" s="34" t="s">
        <v>756</v>
      </c>
    </row>
    <row r="38" ht="14.25" spans="1:5">
      <c r="A38" s="35" t="s">
        <v>1</v>
      </c>
      <c r="B38" s="35" t="s">
        <v>29</v>
      </c>
      <c r="C38" s="35" t="s">
        <v>30</v>
      </c>
      <c r="D38" s="35" t="s">
        <v>31</v>
      </c>
      <c r="E38" s="35" t="s">
        <v>4</v>
      </c>
    </row>
    <row r="39" spans="1:5">
      <c r="A39" s="36" t="s">
        <v>760</v>
      </c>
      <c r="B39" s="3" t="s">
        <v>756</v>
      </c>
      <c r="C39" s="3" t="s">
        <v>136</v>
      </c>
      <c r="D39" s="3" t="s">
        <v>839</v>
      </c>
      <c r="E39" s="5" t="s">
        <v>861</v>
      </c>
    </row>
    <row r="41" ht="15" spans="1:2">
      <c r="A41" s="33"/>
      <c r="B41" s="34" t="s">
        <v>28</v>
      </c>
    </row>
    <row r="42" ht="14.25" spans="1:5">
      <c r="A42" s="35" t="s">
        <v>1</v>
      </c>
      <c r="B42" s="35" t="s">
        <v>29</v>
      </c>
      <c r="C42" s="35" t="s">
        <v>30</v>
      </c>
      <c r="D42" s="35" t="s">
        <v>31</v>
      </c>
      <c r="E42" s="35" t="s">
        <v>4</v>
      </c>
    </row>
    <row r="43" spans="1:5">
      <c r="A43" s="36" t="s">
        <v>762</v>
      </c>
      <c r="B43" s="3" t="s">
        <v>28</v>
      </c>
      <c r="C43" s="3" t="s">
        <v>136</v>
      </c>
      <c r="D43" s="3" t="s">
        <v>845</v>
      </c>
      <c r="E43" s="5" t="s">
        <v>862</v>
      </c>
    </row>
    <row r="44" spans="1:5">
      <c r="A44" s="36" t="s">
        <v>817</v>
      </c>
      <c r="B44" s="3" t="s">
        <v>28</v>
      </c>
      <c r="C44" s="3" t="s">
        <v>95</v>
      </c>
      <c r="D44" s="3" t="s">
        <v>855</v>
      </c>
      <c r="E44" s="5" t="s">
        <v>863</v>
      </c>
    </row>
    <row r="45" spans="1:5">
      <c r="A45" s="36" t="s">
        <v>864</v>
      </c>
      <c r="B45" s="3" t="s">
        <v>28</v>
      </c>
      <c r="C45" s="3" t="s">
        <v>758</v>
      </c>
      <c r="D45" s="3" t="s">
        <v>279</v>
      </c>
      <c r="E45" s="5" t="s">
        <v>865</v>
      </c>
    </row>
    <row r="46" spans="1:5">
      <c r="A46" s="36" t="s">
        <v>794</v>
      </c>
      <c r="B46" s="3" t="s">
        <v>28</v>
      </c>
      <c r="C46" s="3" t="s">
        <v>33</v>
      </c>
      <c r="D46" s="3" t="s">
        <v>843</v>
      </c>
      <c r="E46" s="5" t="s">
        <v>866</v>
      </c>
    </row>
    <row r="47" spans="1:5">
      <c r="A47" s="36" t="s">
        <v>830</v>
      </c>
      <c r="B47" s="3" t="s">
        <v>28</v>
      </c>
      <c r="C47" s="3" t="s">
        <v>196</v>
      </c>
      <c r="D47" s="3" t="s">
        <v>279</v>
      </c>
      <c r="E47" s="5" t="s">
        <v>867</v>
      </c>
    </row>
    <row r="48" spans="1:5">
      <c r="A48" s="36" t="s">
        <v>716</v>
      </c>
      <c r="B48" s="3" t="s">
        <v>28</v>
      </c>
      <c r="C48" s="3" t="s">
        <v>95</v>
      </c>
      <c r="D48" s="3" t="s">
        <v>851</v>
      </c>
      <c r="E48" s="5" t="s">
        <v>868</v>
      </c>
    </row>
    <row r="50" ht="15" spans="1:2">
      <c r="A50" s="33"/>
      <c r="B50" s="34" t="s">
        <v>84</v>
      </c>
    </row>
    <row r="51" ht="14.25" spans="1:5">
      <c r="A51" s="35" t="s">
        <v>1</v>
      </c>
      <c r="B51" s="35" t="s">
        <v>29</v>
      </c>
      <c r="C51" s="35" t="s">
        <v>30</v>
      </c>
      <c r="D51" s="35" t="s">
        <v>31</v>
      </c>
      <c r="E51" s="35" t="s">
        <v>4</v>
      </c>
    </row>
    <row r="52" spans="1:5">
      <c r="A52" s="36" t="s">
        <v>767</v>
      </c>
      <c r="B52" s="3" t="s">
        <v>720</v>
      </c>
      <c r="C52" s="3" t="s">
        <v>196</v>
      </c>
      <c r="D52" s="3" t="s">
        <v>842</v>
      </c>
      <c r="E52" s="5" t="s">
        <v>869</v>
      </c>
    </row>
    <row r="53" spans="1:5">
      <c r="A53" s="36" t="s">
        <v>794</v>
      </c>
      <c r="B53" s="3" t="s">
        <v>86</v>
      </c>
      <c r="C53" s="3" t="s">
        <v>33</v>
      </c>
      <c r="D53" s="3" t="s">
        <v>843</v>
      </c>
      <c r="E53" s="5" t="s">
        <v>870</v>
      </c>
    </row>
    <row r="54" spans="1:5">
      <c r="A54" s="36" t="s">
        <v>722</v>
      </c>
      <c r="B54" s="3" t="s">
        <v>720</v>
      </c>
      <c r="C54" s="3" t="s">
        <v>95</v>
      </c>
      <c r="D54" s="3" t="s">
        <v>838</v>
      </c>
      <c r="E54" s="5" t="s">
        <v>871</v>
      </c>
    </row>
    <row r="55" spans="1:5">
      <c r="A55" s="36" t="s">
        <v>872</v>
      </c>
      <c r="B55" s="3" t="s">
        <v>146</v>
      </c>
      <c r="C55" s="3" t="s">
        <v>136</v>
      </c>
      <c r="D55" s="3" t="s">
        <v>838</v>
      </c>
      <c r="E55" s="5" t="s">
        <v>873</v>
      </c>
    </row>
    <row r="56" spans="1:5">
      <c r="A56" s="36" t="s">
        <v>716</v>
      </c>
      <c r="B56" s="3" t="s">
        <v>86</v>
      </c>
      <c r="C56" s="3" t="s">
        <v>95</v>
      </c>
      <c r="D56" s="3" t="s">
        <v>851</v>
      </c>
      <c r="E56" s="5" t="s">
        <v>874</v>
      </c>
    </row>
  </sheetData>
  <mergeCells count="16">
    <mergeCell ref="G3:J3"/>
    <mergeCell ref="A5:J5"/>
    <mergeCell ref="A8:J8"/>
    <mergeCell ref="A12:J12"/>
    <mergeCell ref="A17:J17"/>
    <mergeCell ref="A21:J21"/>
    <mergeCell ref="A3:A4"/>
    <mergeCell ref="B3:B4"/>
    <mergeCell ref="C3:C4"/>
    <mergeCell ref="D3:D4"/>
    <mergeCell ref="E3:E4"/>
    <mergeCell ref="F3:F4"/>
    <mergeCell ref="K3:K4"/>
    <mergeCell ref="L3:L4"/>
    <mergeCell ref="M3:M4"/>
    <mergeCell ref="A1:M2"/>
  </mergeCells>
  <pageMargins left="0.196850393700787" right="0.47244094488189" top="0.433070866141732" bottom="0.47244094488189" header="0.511811023622047" footer="0.511811023622047"/>
  <pageSetup paperSize="1" scale="65" fitToHeight="100" orientation="landscape" horizontalDpi="300" verticalDpi="300"/>
  <headerFooter alignWithMargins="0">
    <oddFooter>&amp;L&amp;G&amp;R&amp;D&amp;T&amp;P</oddFoot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37"/>
  <sheetViews>
    <sheetView workbookViewId="0">
      <selection activeCell="A1" sqref="A1:Y2"/>
    </sheetView>
  </sheetViews>
  <sheetFormatPr defaultColWidth="9.11111111111111" defaultRowHeight="12.75"/>
  <cols>
    <col min="1" max="1" width="24.8888888888889" style="4" customWidth="1"/>
    <col min="2" max="2" width="26.5555555555556" style="3" customWidth="1"/>
    <col min="3" max="3" width="7.55555555555556" style="3" customWidth="1"/>
    <col min="4" max="4" width="6.55555555555556" style="3" customWidth="1"/>
    <col min="5" max="5" width="17" style="4" customWidth="1"/>
    <col min="6" max="6" width="19.7777777777778" style="4" customWidth="1"/>
    <col min="7" max="9" width="5.55555555555556" style="3" customWidth="1"/>
    <col min="10" max="10" width="4.77777777777778" style="3" customWidth="1"/>
    <col min="11" max="11" width="5.77777777777778" style="5" customWidth="1"/>
    <col min="12" max="12" width="8.55555555555556" style="6" customWidth="1"/>
    <col min="13" max="13" width="7.11111111111111" style="4" customWidth="1"/>
    <col min="14" max="16384" width="9.11111111111111" style="7"/>
  </cols>
  <sheetData>
    <row r="1" s="1" customFormat="1" ht="28.95" customHeight="1" spans="1:13">
      <c r="A1" s="8" t="s">
        <v>97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37"/>
    </row>
    <row r="2" s="1" customFormat="1" ht="61.95" customHeight="1" spans="1:13">
      <c r="A2" s="10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38"/>
    </row>
    <row r="3" s="2" customFormat="1" customHeight="1" spans="1:13">
      <c r="A3" s="12" t="s">
        <v>1</v>
      </c>
      <c r="B3" s="13" t="s">
        <v>2</v>
      </c>
      <c r="C3" s="13" t="s">
        <v>3</v>
      </c>
      <c r="D3" s="14" t="s">
        <v>4</v>
      </c>
      <c r="E3" s="14" t="s">
        <v>5</v>
      </c>
      <c r="F3" s="14" t="s">
        <v>6</v>
      </c>
      <c r="G3" s="14" t="s">
        <v>7</v>
      </c>
      <c r="H3" s="14"/>
      <c r="I3" s="14"/>
      <c r="J3" s="14"/>
      <c r="K3" s="14" t="s">
        <v>8</v>
      </c>
      <c r="L3" s="14" t="s">
        <v>9</v>
      </c>
      <c r="M3" s="39" t="s">
        <v>10</v>
      </c>
    </row>
    <row r="4" s="2" customFormat="1" ht="23.25" customHeight="1" spans="1:13">
      <c r="A4" s="15"/>
      <c r="B4" s="16"/>
      <c r="C4" s="16"/>
      <c r="D4" s="16"/>
      <c r="E4" s="16"/>
      <c r="F4" s="16"/>
      <c r="G4" s="16">
        <v>1</v>
      </c>
      <c r="H4" s="16">
        <v>2</v>
      </c>
      <c r="I4" s="16">
        <v>3</v>
      </c>
      <c r="J4" s="16" t="s">
        <v>11</v>
      </c>
      <c r="K4" s="16"/>
      <c r="L4" s="16"/>
      <c r="M4" s="40"/>
    </row>
    <row r="5" s="3" customFormat="1" ht="15.75" spans="1:13">
      <c r="A5" s="17" t="s">
        <v>50</v>
      </c>
      <c r="B5" s="18"/>
      <c r="C5" s="18"/>
      <c r="D5" s="18"/>
      <c r="E5" s="18"/>
      <c r="F5" s="18"/>
      <c r="G5" s="18"/>
      <c r="H5" s="18"/>
      <c r="I5" s="18"/>
      <c r="J5" s="18"/>
      <c r="K5" s="5"/>
      <c r="L5" s="6"/>
      <c r="M5" s="4"/>
    </row>
    <row r="6" s="3" customFormat="1" spans="1:13">
      <c r="A6" s="19" t="s">
        <v>98</v>
      </c>
      <c r="B6" s="20" t="s">
        <v>99</v>
      </c>
      <c r="C6" s="20" t="s">
        <v>100</v>
      </c>
      <c r="D6" s="20" t="str">
        <f>"0,6508"</f>
        <v>0,6508</v>
      </c>
      <c r="E6" s="19" t="s">
        <v>62</v>
      </c>
      <c r="F6" s="19" t="s">
        <v>63</v>
      </c>
      <c r="G6" s="20" t="s">
        <v>101</v>
      </c>
      <c r="H6" s="41" t="s">
        <v>102</v>
      </c>
      <c r="I6" s="41" t="s">
        <v>103</v>
      </c>
      <c r="J6" s="41"/>
      <c r="K6" s="42" t="str">
        <f>"255,0"</f>
        <v>255,0</v>
      </c>
      <c r="L6" s="43" t="str">
        <f>"177,2389"</f>
        <v>177,2389</v>
      </c>
      <c r="M6" s="19"/>
    </row>
    <row r="7" s="3" customFormat="1" spans="1:13">
      <c r="A7" s="4"/>
      <c r="E7" s="4"/>
      <c r="F7" s="4"/>
      <c r="K7" s="5"/>
      <c r="L7" s="6"/>
      <c r="M7" s="4"/>
    </row>
    <row r="8" ht="15.75" spans="1:10">
      <c r="A8" s="21" t="s">
        <v>104</v>
      </c>
      <c r="B8" s="22"/>
      <c r="C8" s="22"/>
      <c r="D8" s="22"/>
      <c r="E8" s="22"/>
      <c r="F8" s="22"/>
      <c r="G8" s="22"/>
      <c r="H8" s="22"/>
      <c r="I8" s="22"/>
      <c r="J8" s="22"/>
    </row>
    <row r="9" spans="1:13">
      <c r="A9" s="23" t="s">
        <v>105</v>
      </c>
      <c r="B9" s="24" t="s">
        <v>106</v>
      </c>
      <c r="C9" s="24" t="s">
        <v>107</v>
      </c>
      <c r="D9" s="24" t="str">
        <f>"0,5859"</f>
        <v>0,5859</v>
      </c>
      <c r="E9" s="23" t="s">
        <v>16</v>
      </c>
      <c r="F9" s="23" t="s">
        <v>108</v>
      </c>
      <c r="G9" s="24" t="s">
        <v>109</v>
      </c>
      <c r="H9" s="49" t="s">
        <v>110</v>
      </c>
      <c r="I9" s="49"/>
      <c r="J9" s="49"/>
      <c r="K9" s="44" t="str">
        <f>"320,0"</f>
        <v>320,0</v>
      </c>
      <c r="L9" s="45" t="str">
        <f>"187,4720"</f>
        <v>187,4720</v>
      </c>
      <c r="M9" s="23"/>
    </row>
    <row r="10" spans="1:13">
      <c r="A10" s="27" t="s">
        <v>111</v>
      </c>
      <c r="B10" s="28" t="s">
        <v>112</v>
      </c>
      <c r="C10" s="28" t="s">
        <v>113</v>
      </c>
      <c r="D10" s="28" t="str">
        <f>"0,5900"</f>
        <v>0,5900</v>
      </c>
      <c r="E10" s="27" t="s">
        <v>62</v>
      </c>
      <c r="F10" s="27" t="s">
        <v>63</v>
      </c>
      <c r="G10" s="28" t="s">
        <v>114</v>
      </c>
      <c r="H10" s="28" t="s">
        <v>55</v>
      </c>
      <c r="I10" s="50" t="s">
        <v>103</v>
      </c>
      <c r="J10" s="50"/>
      <c r="K10" s="51" t="str">
        <f>"260,0"</f>
        <v>260,0</v>
      </c>
      <c r="L10" s="52" t="str">
        <f>"158,1420"</f>
        <v>158,1420</v>
      </c>
      <c r="M10" s="27"/>
    </row>
    <row r="11" spans="1:13">
      <c r="A11" s="25" t="s">
        <v>115</v>
      </c>
      <c r="B11" s="26" t="s">
        <v>116</v>
      </c>
      <c r="C11" s="26" t="s">
        <v>117</v>
      </c>
      <c r="D11" s="26" t="str">
        <f>"0,5813"</f>
        <v>0,5813</v>
      </c>
      <c r="E11" s="25" t="s">
        <v>62</v>
      </c>
      <c r="F11" s="25" t="s">
        <v>118</v>
      </c>
      <c r="G11" s="26" t="s">
        <v>49</v>
      </c>
      <c r="H11" s="26" t="s">
        <v>119</v>
      </c>
      <c r="I11" s="46" t="s">
        <v>120</v>
      </c>
      <c r="J11" s="46"/>
      <c r="K11" s="47" t="str">
        <f>"150,0"</f>
        <v>150,0</v>
      </c>
      <c r="L11" s="48" t="str">
        <f>"126,4328"</f>
        <v>126,4328</v>
      </c>
      <c r="M11" s="25"/>
    </row>
    <row r="13" ht="15.75" spans="1:10">
      <c r="A13" s="21" t="s">
        <v>12</v>
      </c>
      <c r="B13" s="22"/>
      <c r="C13" s="22"/>
      <c r="D13" s="22"/>
      <c r="E13" s="22"/>
      <c r="F13" s="22"/>
      <c r="G13" s="22"/>
      <c r="H13" s="22"/>
      <c r="I13" s="22"/>
      <c r="J13" s="22"/>
    </row>
    <row r="14" spans="1:13">
      <c r="A14" s="23" t="s">
        <v>121</v>
      </c>
      <c r="B14" s="24" t="s">
        <v>122</v>
      </c>
      <c r="C14" s="24" t="s">
        <v>123</v>
      </c>
      <c r="D14" s="24" t="str">
        <f>"0,5713"</f>
        <v>0,5713</v>
      </c>
      <c r="E14" s="23" t="s">
        <v>16</v>
      </c>
      <c r="F14" s="23" t="s">
        <v>124</v>
      </c>
      <c r="G14" s="24" t="s">
        <v>125</v>
      </c>
      <c r="H14" s="49" t="s">
        <v>126</v>
      </c>
      <c r="I14" s="49" t="s">
        <v>126</v>
      </c>
      <c r="J14" s="49"/>
      <c r="K14" s="44" t="str">
        <f>"380,0"</f>
        <v>380,0</v>
      </c>
      <c r="L14" s="45" t="str">
        <f>"217,0750"</f>
        <v>217,0750</v>
      </c>
      <c r="M14" s="23"/>
    </row>
    <row r="15" spans="1:13">
      <c r="A15" s="25" t="s">
        <v>127</v>
      </c>
      <c r="B15" s="26" t="s">
        <v>128</v>
      </c>
      <c r="C15" s="26" t="s">
        <v>129</v>
      </c>
      <c r="D15" s="26" t="str">
        <f>"0,5688"</f>
        <v>0,5688</v>
      </c>
      <c r="E15" s="25" t="s">
        <v>16</v>
      </c>
      <c r="F15" s="25" t="s">
        <v>124</v>
      </c>
      <c r="G15" s="26" t="s">
        <v>130</v>
      </c>
      <c r="H15" s="46" t="s">
        <v>131</v>
      </c>
      <c r="I15" s="46" t="s">
        <v>132</v>
      </c>
      <c r="J15" s="46"/>
      <c r="K15" s="47" t="str">
        <f>"287,5"</f>
        <v>287,5</v>
      </c>
      <c r="L15" s="48" t="str">
        <f>"166,8153"</f>
        <v>166,8153</v>
      </c>
      <c r="M15" s="25"/>
    </row>
    <row r="17" ht="15.75" spans="5:5">
      <c r="E17" s="29" t="s">
        <v>20</v>
      </c>
    </row>
    <row r="18" ht="15.75" spans="5:5">
      <c r="E18" s="29" t="s">
        <v>21</v>
      </c>
    </row>
    <row r="19" ht="15.75" spans="5:5">
      <c r="E19" s="29" t="s">
        <v>22</v>
      </c>
    </row>
    <row r="20" spans="5:5">
      <c r="E20" s="4" t="s">
        <v>23</v>
      </c>
    </row>
    <row r="21" spans="5:5">
      <c r="E21" s="4" t="s">
        <v>24</v>
      </c>
    </row>
    <row r="22" spans="5:5">
      <c r="E22" s="4" t="s">
        <v>25</v>
      </c>
    </row>
    <row r="25" ht="18.75" spans="1:2">
      <c r="A25" s="30" t="s">
        <v>26</v>
      </c>
      <c r="B25" s="31"/>
    </row>
    <row r="26" ht="15.75" spans="1:2">
      <c r="A26" s="32" t="s">
        <v>27</v>
      </c>
      <c r="B26" s="21"/>
    </row>
    <row r="27" ht="15" spans="1:2">
      <c r="A27" s="33"/>
      <c r="B27" s="34" t="s">
        <v>28</v>
      </c>
    </row>
    <row r="28" ht="14.25" spans="1:5">
      <c r="A28" s="35" t="s">
        <v>1</v>
      </c>
      <c r="B28" s="35" t="s">
        <v>29</v>
      </c>
      <c r="C28" s="35" t="s">
        <v>30</v>
      </c>
      <c r="D28" s="35" t="s">
        <v>31</v>
      </c>
      <c r="E28" s="35" t="s">
        <v>4</v>
      </c>
    </row>
    <row r="29" spans="1:5">
      <c r="A29" s="36" t="s">
        <v>133</v>
      </c>
      <c r="B29" s="3" t="s">
        <v>28</v>
      </c>
      <c r="C29" s="3" t="s">
        <v>33</v>
      </c>
      <c r="D29" s="3" t="s">
        <v>125</v>
      </c>
      <c r="E29" s="5" t="s">
        <v>134</v>
      </c>
    </row>
    <row r="30" spans="1:5">
      <c r="A30" s="36" t="s">
        <v>135</v>
      </c>
      <c r="B30" s="3" t="s">
        <v>28</v>
      </c>
      <c r="C30" s="3" t="s">
        <v>136</v>
      </c>
      <c r="D30" s="3" t="s">
        <v>109</v>
      </c>
      <c r="E30" s="5" t="s">
        <v>137</v>
      </c>
    </row>
    <row r="32" ht="15" spans="1:2">
      <c r="A32" s="33"/>
      <c r="B32" s="34" t="s">
        <v>84</v>
      </c>
    </row>
    <row r="33" ht="14.25" spans="1:5">
      <c r="A33" s="35" t="s">
        <v>1</v>
      </c>
      <c r="B33" s="35" t="s">
        <v>29</v>
      </c>
      <c r="C33" s="35" t="s">
        <v>30</v>
      </c>
      <c r="D33" s="35" t="s">
        <v>31</v>
      </c>
      <c r="E33" s="35" t="s">
        <v>4</v>
      </c>
    </row>
    <row r="34" spans="1:5">
      <c r="A34" s="36" t="s">
        <v>138</v>
      </c>
      <c r="B34" s="3" t="s">
        <v>94</v>
      </c>
      <c r="C34" s="3" t="s">
        <v>89</v>
      </c>
      <c r="D34" s="3" t="s">
        <v>101</v>
      </c>
      <c r="E34" s="5" t="s">
        <v>139</v>
      </c>
    </row>
    <row r="35" spans="1:5">
      <c r="A35" s="36" t="s">
        <v>140</v>
      </c>
      <c r="B35" s="3" t="s">
        <v>141</v>
      </c>
      <c r="C35" s="3" t="s">
        <v>33</v>
      </c>
      <c r="D35" s="3" t="s">
        <v>130</v>
      </c>
      <c r="E35" s="5" t="s">
        <v>142</v>
      </c>
    </row>
    <row r="36" spans="1:5">
      <c r="A36" s="36" t="s">
        <v>143</v>
      </c>
      <c r="B36" s="3" t="s">
        <v>141</v>
      </c>
      <c r="C36" s="3" t="s">
        <v>136</v>
      </c>
      <c r="D36" s="3" t="s">
        <v>55</v>
      </c>
      <c r="E36" s="5" t="s">
        <v>144</v>
      </c>
    </row>
    <row r="37" spans="1:5">
      <c r="A37" s="36" t="s">
        <v>145</v>
      </c>
      <c r="B37" s="3" t="s">
        <v>146</v>
      </c>
      <c r="C37" s="3" t="s">
        <v>136</v>
      </c>
      <c r="D37" s="3" t="s">
        <v>119</v>
      </c>
      <c r="E37" s="5" t="s">
        <v>147</v>
      </c>
    </row>
  </sheetData>
  <mergeCells count="14">
    <mergeCell ref="G3:J3"/>
    <mergeCell ref="A5:J5"/>
    <mergeCell ref="A8:J8"/>
    <mergeCell ref="A13:J13"/>
    <mergeCell ref="A3:A4"/>
    <mergeCell ref="B3:B4"/>
    <mergeCell ref="C3:C4"/>
    <mergeCell ref="D3:D4"/>
    <mergeCell ref="E3:E4"/>
    <mergeCell ref="F3:F4"/>
    <mergeCell ref="K3:K4"/>
    <mergeCell ref="L3:L4"/>
    <mergeCell ref="M3:M4"/>
    <mergeCell ref="A1:M2"/>
  </mergeCells>
  <pageMargins left="0.7" right="0.7" top="0.75" bottom="0.75" header="0.3" footer="0.3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0"/>
  <sheetViews>
    <sheetView workbookViewId="0">
      <selection activeCell="A1" sqref="A1:Y2"/>
    </sheetView>
  </sheetViews>
  <sheetFormatPr defaultColWidth="9.11111111111111" defaultRowHeight="12.75"/>
  <cols>
    <col min="1" max="1" width="24.8888888888889" style="4" customWidth="1"/>
    <col min="2" max="2" width="24.1111111111111" style="3" customWidth="1"/>
    <col min="3" max="3" width="7.55555555555556" style="3" customWidth="1"/>
    <col min="4" max="4" width="6.55555555555556" style="3" customWidth="1"/>
    <col min="5" max="5" width="24.4444444444444" style="4" customWidth="1"/>
    <col min="6" max="6" width="14.7777777777778" style="4" customWidth="1"/>
    <col min="7" max="7" width="7.77777777777778" style="3" customWidth="1"/>
    <col min="8" max="8" width="4.55555555555556" style="3" customWidth="1"/>
    <col min="9" max="9" width="6.55555555555556" style="5" customWidth="1"/>
    <col min="10" max="10" width="8.55555555555556" style="6" customWidth="1"/>
    <col min="11" max="11" width="13.7777777777778" style="4" customWidth="1"/>
    <col min="12" max="16384" width="9.11111111111111" style="7"/>
  </cols>
  <sheetData>
    <row r="1" s="1" customFormat="1" ht="28.95" customHeight="1" spans="1:11">
      <c r="A1" s="8" t="s">
        <v>148</v>
      </c>
      <c r="B1" s="9"/>
      <c r="C1" s="9"/>
      <c r="D1" s="9"/>
      <c r="E1" s="9"/>
      <c r="F1" s="9"/>
      <c r="G1" s="9"/>
      <c r="H1" s="9"/>
      <c r="I1" s="9"/>
      <c r="J1" s="9"/>
      <c r="K1" s="37"/>
    </row>
    <row r="2" s="1" customFormat="1" ht="61.95" customHeight="1" spans="1:11">
      <c r="A2" s="10"/>
      <c r="B2" s="11"/>
      <c r="C2" s="11"/>
      <c r="D2" s="11"/>
      <c r="E2" s="11"/>
      <c r="F2" s="11"/>
      <c r="G2" s="11"/>
      <c r="H2" s="11"/>
      <c r="I2" s="11"/>
      <c r="J2" s="11"/>
      <c r="K2" s="38"/>
    </row>
    <row r="3" s="2" customFormat="1" customHeight="1" spans="1:11">
      <c r="A3" s="12" t="s">
        <v>1</v>
      </c>
      <c r="B3" s="13" t="s">
        <v>2</v>
      </c>
      <c r="C3" s="13" t="s">
        <v>3</v>
      </c>
      <c r="D3" s="14" t="s">
        <v>4</v>
      </c>
      <c r="E3" s="14" t="s">
        <v>5</v>
      </c>
      <c r="F3" s="14" t="s">
        <v>6</v>
      </c>
      <c r="G3" s="14" t="s">
        <v>149</v>
      </c>
      <c r="H3" s="14"/>
      <c r="I3" s="14" t="s">
        <v>150</v>
      </c>
      <c r="J3" s="14" t="s">
        <v>9</v>
      </c>
      <c r="K3" s="39" t="s">
        <v>10</v>
      </c>
    </row>
    <row r="4" s="2" customFormat="1" ht="23.25" customHeight="1" spans="1:11">
      <c r="A4" s="15"/>
      <c r="B4" s="16"/>
      <c r="C4" s="16"/>
      <c r="D4" s="16"/>
      <c r="E4" s="16"/>
      <c r="F4" s="16"/>
      <c r="G4" s="16" t="s">
        <v>151</v>
      </c>
      <c r="H4" s="16" t="s">
        <v>152</v>
      </c>
      <c r="I4" s="16"/>
      <c r="J4" s="16"/>
      <c r="K4" s="40"/>
    </row>
    <row r="5" s="3" customFormat="1" ht="15.75" spans="1:11">
      <c r="A5" s="17" t="s">
        <v>36</v>
      </c>
      <c r="B5" s="18"/>
      <c r="C5" s="18"/>
      <c r="D5" s="18"/>
      <c r="E5" s="18"/>
      <c r="F5" s="18"/>
      <c r="G5" s="18"/>
      <c r="H5" s="18"/>
      <c r="I5" s="5"/>
      <c r="J5" s="6"/>
      <c r="K5" s="4"/>
    </row>
    <row r="6" s="3" customFormat="1" spans="1:11">
      <c r="A6" s="19" t="s">
        <v>153</v>
      </c>
      <c r="B6" s="20" t="s">
        <v>154</v>
      </c>
      <c r="C6" s="20" t="s">
        <v>155</v>
      </c>
      <c r="D6" s="20" t="str">
        <f>"0,7930"</f>
        <v>0,7930</v>
      </c>
      <c r="E6" s="19" t="s">
        <v>156</v>
      </c>
      <c r="F6" s="19" t="s">
        <v>40</v>
      </c>
      <c r="G6" s="20" t="s">
        <v>157</v>
      </c>
      <c r="H6" s="20" t="s">
        <v>158</v>
      </c>
      <c r="I6" s="42" t="str">
        <f>"1235,0"</f>
        <v>1235,0</v>
      </c>
      <c r="J6" s="43" t="str">
        <f>"979,4167"</f>
        <v>979,4167</v>
      </c>
      <c r="K6" s="19" t="s">
        <v>159</v>
      </c>
    </row>
    <row r="7" s="3" customFormat="1" spans="1:11">
      <c r="A7" s="4"/>
      <c r="E7" s="4"/>
      <c r="F7" s="4"/>
      <c r="I7" s="5"/>
      <c r="J7" s="6"/>
      <c r="K7" s="4"/>
    </row>
    <row r="8" ht="15.75" spans="5:5">
      <c r="E8" s="29" t="s">
        <v>20</v>
      </c>
    </row>
    <row r="9" ht="15.75" spans="5:5">
      <c r="E9" s="29" t="s">
        <v>21</v>
      </c>
    </row>
    <row r="10" ht="15.75" spans="5:5">
      <c r="E10" s="29" t="s">
        <v>22</v>
      </c>
    </row>
    <row r="11" spans="5:5">
      <c r="E11" s="4" t="s">
        <v>23</v>
      </c>
    </row>
    <row r="12" spans="5:5">
      <c r="E12" s="4" t="s">
        <v>24</v>
      </c>
    </row>
    <row r="13" spans="5:5">
      <c r="E13" s="4" t="s">
        <v>25</v>
      </c>
    </row>
    <row r="16" ht="18.75" spans="1:2">
      <c r="A16" s="30" t="s">
        <v>26</v>
      </c>
      <c r="B16" s="31"/>
    </row>
    <row r="17" ht="15.75" spans="1:2">
      <c r="A17" s="32" t="s">
        <v>27</v>
      </c>
      <c r="B17" s="21"/>
    </row>
    <row r="18" ht="15" spans="1:2">
      <c r="A18" s="33"/>
      <c r="B18" s="34" t="s">
        <v>160</v>
      </c>
    </row>
    <row r="19" ht="14.25" spans="1:5">
      <c r="A19" s="35" t="s">
        <v>1</v>
      </c>
      <c r="B19" s="35" t="s">
        <v>29</v>
      </c>
      <c r="C19" s="35" t="s">
        <v>30</v>
      </c>
      <c r="D19" s="35" t="s">
        <v>31</v>
      </c>
      <c r="E19" s="35" t="s">
        <v>4</v>
      </c>
    </row>
    <row r="20" spans="1:5">
      <c r="A20" s="36" t="s">
        <v>161</v>
      </c>
      <c r="B20" s="3" t="s">
        <v>162</v>
      </c>
      <c r="C20" s="3" t="s">
        <v>82</v>
      </c>
      <c r="D20" s="3" t="s">
        <v>163</v>
      </c>
      <c r="E20" s="5" t="s">
        <v>164</v>
      </c>
    </row>
  </sheetData>
  <mergeCells count="12">
    <mergeCell ref="G3:H3"/>
    <mergeCell ref="A5:H5"/>
    <mergeCell ref="A3:A4"/>
    <mergeCell ref="B3:B4"/>
    <mergeCell ref="C3:C4"/>
    <mergeCell ref="D3:D4"/>
    <mergeCell ref="E3:E4"/>
    <mergeCell ref="F3:F4"/>
    <mergeCell ref="I3:I4"/>
    <mergeCell ref="J3:J4"/>
    <mergeCell ref="K3:K4"/>
    <mergeCell ref="A1:K2"/>
  </mergeCells>
  <pageMargins left="0.7" right="0.7" top="0.75" bottom="0.75" header="0.3" footer="0.3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35"/>
  <sheetViews>
    <sheetView workbookViewId="0">
      <selection activeCell="A1" sqref="A1:Y2"/>
    </sheetView>
  </sheetViews>
  <sheetFormatPr defaultColWidth="9.11111111111111" defaultRowHeight="12.75"/>
  <cols>
    <col min="1" max="1" width="24.8888888888889" style="4" customWidth="1"/>
    <col min="2" max="2" width="26.5555555555556" style="3" customWidth="1"/>
    <col min="3" max="3" width="7.55555555555556" style="3" customWidth="1"/>
    <col min="4" max="4" width="6.55555555555556" style="3" customWidth="1"/>
    <col min="5" max="5" width="24.4444444444444" style="4" customWidth="1"/>
    <col min="6" max="6" width="14.7777777777778" style="4" customWidth="1"/>
    <col min="7" max="7" width="7.77777777777778" style="3" customWidth="1"/>
    <col min="8" max="8" width="4.55555555555556" style="3" customWidth="1"/>
    <col min="9" max="9" width="6.55555555555556" style="5" customWidth="1"/>
    <col min="10" max="10" width="9.55555555555556" style="6" customWidth="1"/>
    <col min="11" max="11" width="7.11111111111111" style="4" customWidth="1"/>
    <col min="12" max="16384" width="9.11111111111111" style="7"/>
  </cols>
  <sheetData>
    <row r="1" s="1" customFormat="1" ht="28.95" customHeight="1" spans="1:11">
      <c r="A1" s="8" t="s">
        <v>165</v>
      </c>
      <c r="B1" s="9"/>
      <c r="C1" s="9"/>
      <c r="D1" s="9"/>
      <c r="E1" s="9"/>
      <c r="F1" s="9"/>
      <c r="G1" s="9"/>
      <c r="H1" s="9"/>
      <c r="I1" s="9"/>
      <c r="J1" s="9"/>
      <c r="K1" s="37"/>
    </row>
    <row r="2" s="1" customFormat="1" ht="61.95" customHeight="1" spans="1:11">
      <c r="A2" s="10"/>
      <c r="B2" s="11"/>
      <c r="C2" s="11"/>
      <c r="D2" s="11"/>
      <c r="E2" s="11"/>
      <c r="F2" s="11"/>
      <c r="G2" s="11"/>
      <c r="H2" s="11"/>
      <c r="I2" s="11"/>
      <c r="J2" s="11"/>
      <c r="K2" s="38"/>
    </row>
    <row r="3" s="2" customFormat="1" customHeight="1" spans="1:11">
      <c r="A3" s="12" t="s">
        <v>1</v>
      </c>
      <c r="B3" s="13" t="s">
        <v>2</v>
      </c>
      <c r="C3" s="13" t="s">
        <v>3</v>
      </c>
      <c r="D3" s="14" t="s">
        <v>4</v>
      </c>
      <c r="E3" s="14" t="s">
        <v>5</v>
      </c>
      <c r="F3" s="14" t="s">
        <v>6</v>
      </c>
      <c r="G3" s="14" t="s">
        <v>149</v>
      </c>
      <c r="H3" s="14"/>
      <c r="I3" s="14" t="s">
        <v>150</v>
      </c>
      <c r="J3" s="14" t="s">
        <v>9</v>
      </c>
      <c r="K3" s="39" t="s">
        <v>10</v>
      </c>
    </row>
    <row r="4" s="2" customFormat="1" ht="23.25" customHeight="1" spans="1:11">
      <c r="A4" s="15"/>
      <c r="B4" s="16"/>
      <c r="C4" s="16"/>
      <c r="D4" s="16"/>
      <c r="E4" s="16"/>
      <c r="F4" s="16"/>
      <c r="G4" s="16" t="s">
        <v>151</v>
      </c>
      <c r="H4" s="16" t="s">
        <v>152</v>
      </c>
      <c r="I4" s="16"/>
      <c r="J4" s="16"/>
      <c r="K4" s="40"/>
    </row>
    <row r="5" s="3" customFormat="1" ht="15.75" spans="1:11">
      <c r="A5" s="17" t="s">
        <v>36</v>
      </c>
      <c r="B5" s="18"/>
      <c r="C5" s="18"/>
      <c r="D5" s="18"/>
      <c r="E5" s="18"/>
      <c r="F5" s="18"/>
      <c r="G5" s="18"/>
      <c r="H5" s="18"/>
      <c r="I5" s="5"/>
      <c r="J5" s="6"/>
      <c r="K5" s="4"/>
    </row>
    <row r="6" s="3" customFormat="1" spans="1:11">
      <c r="A6" s="19" t="s">
        <v>166</v>
      </c>
      <c r="B6" s="20" t="s">
        <v>167</v>
      </c>
      <c r="C6" s="20" t="s">
        <v>168</v>
      </c>
      <c r="D6" s="20" t="str">
        <f>"0,7650"</f>
        <v>0,7650</v>
      </c>
      <c r="E6" s="19" t="s">
        <v>62</v>
      </c>
      <c r="F6" s="19" t="s">
        <v>40</v>
      </c>
      <c r="G6" s="20" t="s">
        <v>169</v>
      </c>
      <c r="H6" s="20" t="s">
        <v>170</v>
      </c>
      <c r="I6" s="42" t="str">
        <f>"2092,5"</f>
        <v>2092,5</v>
      </c>
      <c r="J6" s="43" t="str">
        <f>"1600,8671"</f>
        <v>1600,8671</v>
      </c>
      <c r="K6" s="19"/>
    </row>
    <row r="7" s="3" customFormat="1" spans="1:11">
      <c r="A7" s="4"/>
      <c r="E7" s="4"/>
      <c r="F7" s="4"/>
      <c r="I7" s="5"/>
      <c r="J7" s="6"/>
      <c r="K7" s="4"/>
    </row>
    <row r="8" ht="15.75" spans="1:8">
      <c r="A8" s="21" t="s">
        <v>171</v>
      </c>
      <c r="B8" s="22"/>
      <c r="C8" s="22"/>
      <c r="D8" s="22"/>
      <c r="E8" s="22"/>
      <c r="F8" s="22"/>
      <c r="G8" s="22"/>
      <c r="H8" s="22"/>
    </row>
    <row r="9" spans="1:11">
      <c r="A9" s="19" t="s">
        <v>172</v>
      </c>
      <c r="B9" s="20" t="s">
        <v>173</v>
      </c>
      <c r="C9" s="20" t="s">
        <v>174</v>
      </c>
      <c r="D9" s="20" t="str">
        <f>"0,7314"</f>
        <v>0,7314</v>
      </c>
      <c r="E9" s="19" t="s">
        <v>62</v>
      </c>
      <c r="F9" s="19" t="s">
        <v>40</v>
      </c>
      <c r="G9" s="20" t="s">
        <v>175</v>
      </c>
      <c r="H9" s="20" t="s">
        <v>176</v>
      </c>
      <c r="I9" s="42" t="str">
        <f>"3080,0"</f>
        <v>3080,0</v>
      </c>
      <c r="J9" s="43" t="str">
        <f>"2252,5580"</f>
        <v>2252,5580</v>
      </c>
      <c r="K9" s="19"/>
    </row>
    <row r="11" ht="15.75" spans="1:8">
      <c r="A11" s="21" t="s">
        <v>58</v>
      </c>
      <c r="B11" s="22"/>
      <c r="C11" s="22"/>
      <c r="D11" s="22"/>
      <c r="E11" s="22"/>
      <c r="F11" s="22"/>
      <c r="G11" s="22"/>
      <c r="H11" s="22"/>
    </row>
    <row r="12" spans="1:11">
      <c r="A12" s="19" t="s">
        <v>177</v>
      </c>
      <c r="B12" s="20" t="s">
        <v>178</v>
      </c>
      <c r="C12" s="20" t="s">
        <v>179</v>
      </c>
      <c r="D12" s="20" t="str">
        <f>"0,6217"</f>
        <v>0,6217</v>
      </c>
      <c r="E12" s="19" t="s">
        <v>156</v>
      </c>
      <c r="F12" s="19" t="s">
        <v>40</v>
      </c>
      <c r="G12" s="20" t="s">
        <v>180</v>
      </c>
      <c r="H12" s="20" t="s">
        <v>181</v>
      </c>
      <c r="I12" s="42" t="str">
        <f>"2012,5"</f>
        <v>2012,5</v>
      </c>
      <c r="J12" s="43" t="str">
        <f>"1251,2719"</f>
        <v>1251,2719</v>
      </c>
      <c r="K12" s="19"/>
    </row>
    <row r="14" ht="15.75" spans="1:8">
      <c r="A14" s="21" t="s">
        <v>104</v>
      </c>
      <c r="B14" s="22"/>
      <c r="C14" s="22"/>
      <c r="D14" s="22"/>
      <c r="E14" s="22"/>
      <c r="F14" s="22"/>
      <c r="G14" s="22"/>
      <c r="H14" s="22"/>
    </row>
    <row r="15" spans="1:11">
      <c r="A15" s="19" t="s">
        <v>182</v>
      </c>
      <c r="B15" s="20" t="s">
        <v>183</v>
      </c>
      <c r="C15" s="20" t="s">
        <v>184</v>
      </c>
      <c r="D15" s="20" t="str">
        <f>"0,5864"</f>
        <v>0,5864</v>
      </c>
      <c r="E15" s="19" t="s">
        <v>185</v>
      </c>
      <c r="F15" s="19" t="s">
        <v>186</v>
      </c>
      <c r="G15" s="20" t="s">
        <v>187</v>
      </c>
      <c r="H15" s="20" t="s">
        <v>188</v>
      </c>
      <c r="I15" s="42" t="str">
        <f>"1300,0"</f>
        <v>1300,0</v>
      </c>
      <c r="J15" s="43" t="str">
        <f>"814,0884"</f>
        <v>814,0884</v>
      </c>
      <c r="K15" s="19"/>
    </row>
    <row r="17" ht="15.75" spans="5:5">
      <c r="E17" s="29" t="s">
        <v>20</v>
      </c>
    </row>
    <row r="18" ht="15.75" spans="5:5">
      <c r="E18" s="29" t="s">
        <v>21</v>
      </c>
    </row>
    <row r="19" ht="15.75" spans="5:5">
      <c r="E19" s="29" t="s">
        <v>22</v>
      </c>
    </row>
    <row r="20" spans="5:5">
      <c r="E20" s="4" t="s">
        <v>23</v>
      </c>
    </row>
    <row r="21" spans="5:5">
      <c r="E21" s="4" t="s">
        <v>24</v>
      </c>
    </row>
    <row r="22" spans="5:5">
      <c r="E22" s="4" t="s">
        <v>25</v>
      </c>
    </row>
    <row r="25" ht="18.75" spans="1:2">
      <c r="A25" s="30" t="s">
        <v>26</v>
      </c>
      <c r="B25" s="31"/>
    </row>
    <row r="26" ht="15.75" spans="1:2">
      <c r="A26" s="32" t="s">
        <v>27</v>
      </c>
      <c r="B26" s="21"/>
    </row>
    <row r="27" ht="15" spans="1:2">
      <c r="A27" s="33"/>
      <c r="B27" s="34" t="s">
        <v>28</v>
      </c>
    </row>
    <row r="28" ht="14.25" spans="1:5">
      <c r="A28" s="35" t="s">
        <v>1</v>
      </c>
      <c r="B28" s="35" t="s">
        <v>29</v>
      </c>
      <c r="C28" s="35" t="s">
        <v>30</v>
      </c>
      <c r="D28" s="35" t="s">
        <v>31</v>
      </c>
      <c r="E28" s="35" t="s">
        <v>4</v>
      </c>
    </row>
    <row r="29" spans="1:5">
      <c r="A29" s="36" t="s">
        <v>189</v>
      </c>
      <c r="B29" s="3" t="s">
        <v>28</v>
      </c>
      <c r="C29" s="3" t="s">
        <v>190</v>
      </c>
      <c r="D29" s="3" t="s">
        <v>191</v>
      </c>
      <c r="E29" s="5" t="s">
        <v>192</v>
      </c>
    </row>
    <row r="30" spans="1:5">
      <c r="A30" s="36" t="s">
        <v>193</v>
      </c>
      <c r="B30" s="3" t="s">
        <v>28</v>
      </c>
      <c r="C30" s="3" t="s">
        <v>82</v>
      </c>
      <c r="D30" s="3" t="s">
        <v>194</v>
      </c>
      <c r="E30" s="5" t="s">
        <v>195</v>
      </c>
    </row>
    <row r="31" spans="1:5">
      <c r="A31" s="36" t="s">
        <v>159</v>
      </c>
      <c r="B31" s="3" t="s">
        <v>28</v>
      </c>
      <c r="C31" s="3" t="s">
        <v>196</v>
      </c>
      <c r="D31" s="3" t="s">
        <v>197</v>
      </c>
      <c r="E31" s="5" t="s">
        <v>198</v>
      </c>
    </row>
    <row r="33" ht="15" spans="1:2">
      <c r="A33" s="33"/>
      <c r="B33" s="34" t="s">
        <v>84</v>
      </c>
    </row>
    <row r="34" ht="14.25" spans="1:5">
      <c r="A34" s="35" t="s">
        <v>1</v>
      </c>
      <c r="B34" s="35" t="s">
        <v>29</v>
      </c>
      <c r="C34" s="35" t="s">
        <v>30</v>
      </c>
      <c r="D34" s="35" t="s">
        <v>31</v>
      </c>
      <c r="E34" s="35" t="s">
        <v>4</v>
      </c>
    </row>
    <row r="35" spans="1:5">
      <c r="A35" s="36" t="s">
        <v>199</v>
      </c>
      <c r="B35" s="3" t="s">
        <v>200</v>
      </c>
      <c r="C35" s="3" t="s">
        <v>136</v>
      </c>
      <c r="D35" s="3" t="s">
        <v>201</v>
      </c>
      <c r="E35" s="5" t="s">
        <v>202</v>
      </c>
    </row>
  </sheetData>
  <mergeCells count="15">
    <mergeCell ref="G3:H3"/>
    <mergeCell ref="A5:H5"/>
    <mergeCell ref="A8:H8"/>
    <mergeCell ref="A11:H11"/>
    <mergeCell ref="A14:H14"/>
    <mergeCell ref="A3:A4"/>
    <mergeCell ref="B3:B4"/>
    <mergeCell ref="C3:C4"/>
    <mergeCell ref="D3:D4"/>
    <mergeCell ref="E3:E4"/>
    <mergeCell ref="F3:F4"/>
    <mergeCell ref="I3:I4"/>
    <mergeCell ref="J3:J4"/>
    <mergeCell ref="K3:K4"/>
    <mergeCell ref="A1:K2"/>
  </mergeCells>
  <pageMargins left="0.7" right="0.7" top="0.75" bottom="0.75" header="0.3" footer="0.3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34"/>
  <sheetViews>
    <sheetView workbookViewId="0">
      <selection activeCell="A1" sqref="A1:Y2"/>
    </sheetView>
  </sheetViews>
  <sheetFormatPr defaultColWidth="9.11111111111111" defaultRowHeight="12.75"/>
  <cols>
    <col min="1" max="1" width="24.8888888888889" style="4" customWidth="1"/>
    <col min="2" max="2" width="26.5555555555556" style="3" customWidth="1"/>
    <col min="3" max="3" width="7.55555555555556" style="3" customWidth="1"/>
    <col min="4" max="4" width="8.77777777777778" style="3" customWidth="1"/>
    <col min="5" max="5" width="17" style="4" customWidth="1"/>
    <col min="6" max="6" width="15.5555555555556" style="4" customWidth="1"/>
    <col min="7" max="9" width="4.55555555555556" style="3" customWidth="1"/>
    <col min="10" max="10" width="4.77777777777778" style="3" customWidth="1"/>
    <col min="11" max="11" width="5.77777777777778" style="5" customWidth="1"/>
    <col min="12" max="12" width="7.55555555555556" style="6" customWidth="1"/>
    <col min="13" max="13" width="7.11111111111111" style="4" customWidth="1"/>
    <col min="14" max="16384" width="9.11111111111111" style="7"/>
  </cols>
  <sheetData>
    <row r="1" s="1" customFormat="1" ht="28.95" customHeight="1" spans="1:13">
      <c r="A1" s="8" t="s">
        <v>203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37"/>
    </row>
    <row r="2" s="1" customFormat="1" ht="61.95" customHeight="1" spans="1:13">
      <c r="A2" s="10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38"/>
    </row>
    <row r="3" s="2" customFormat="1" customHeight="1" spans="1:13">
      <c r="A3" s="12" t="s">
        <v>1</v>
      </c>
      <c r="B3" s="13" t="s">
        <v>2</v>
      </c>
      <c r="C3" s="13" t="s">
        <v>3</v>
      </c>
      <c r="D3" s="14" t="s">
        <v>204</v>
      </c>
      <c r="E3" s="14" t="s">
        <v>5</v>
      </c>
      <c r="F3" s="14" t="s">
        <v>6</v>
      </c>
      <c r="G3" s="14" t="s">
        <v>205</v>
      </c>
      <c r="H3" s="14"/>
      <c r="I3" s="14"/>
      <c r="J3" s="14"/>
      <c r="K3" s="14" t="s">
        <v>8</v>
      </c>
      <c r="L3" s="14" t="s">
        <v>9</v>
      </c>
      <c r="M3" s="39" t="s">
        <v>10</v>
      </c>
    </row>
    <row r="4" s="2" customFormat="1" ht="23.25" customHeight="1" spans="1:13">
      <c r="A4" s="15"/>
      <c r="B4" s="16"/>
      <c r="C4" s="16"/>
      <c r="D4" s="16"/>
      <c r="E4" s="16"/>
      <c r="F4" s="16"/>
      <c r="G4" s="16">
        <v>1</v>
      </c>
      <c r="H4" s="16">
        <v>2</v>
      </c>
      <c r="I4" s="16">
        <v>3</v>
      </c>
      <c r="J4" s="16" t="s">
        <v>11</v>
      </c>
      <c r="K4" s="16"/>
      <c r="L4" s="16"/>
      <c r="M4" s="40"/>
    </row>
    <row r="5" s="3" customFormat="1" ht="15.75" spans="1:13">
      <c r="A5" s="17" t="s">
        <v>36</v>
      </c>
      <c r="B5" s="18"/>
      <c r="C5" s="18"/>
      <c r="D5" s="18"/>
      <c r="E5" s="18"/>
      <c r="F5" s="18"/>
      <c r="G5" s="18"/>
      <c r="H5" s="18"/>
      <c r="I5" s="18"/>
      <c r="J5" s="18"/>
      <c r="K5" s="5"/>
      <c r="L5" s="6"/>
      <c r="M5" s="4"/>
    </row>
    <row r="6" s="3" customFormat="1" spans="1:13">
      <c r="A6" s="19" t="s">
        <v>206</v>
      </c>
      <c r="B6" s="20" t="s">
        <v>207</v>
      </c>
      <c r="C6" s="20" t="s">
        <v>208</v>
      </c>
      <c r="D6" s="20" t="str">
        <f>"0,8291"</f>
        <v>0,8291</v>
      </c>
      <c r="E6" s="19" t="s">
        <v>62</v>
      </c>
      <c r="F6" s="19" t="s">
        <v>209</v>
      </c>
      <c r="G6" s="20" t="s">
        <v>210</v>
      </c>
      <c r="H6" s="20" t="s">
        <v>211</v>
      </c>
      <c r="I6" s="41" t="s">
        <v>212</v>
      </c>
      <c r="J6" s="41"/>
      <c r="K6" s="42" t="str">
        <f>"35,0"</f>
        <v>35,0</v>
      </c>
      <c r="L6" s="43" t="str">
        <f>"29,0185"</f>
        <v>29,0185</v>
      </c>
      <c r="M6" s="19"/>
    </row>
    <row r="7" s="3" customFormat="1" spans="1:13">
      <c r="A7" s="4"/>
      <c r="E7" s="4"/>
      <c r="F7" s="4"/>
      <c r="K7" s="5"/>
      <c r="L7" s="6"/>
      <c r="M7" s="4"/>
    </row>
    <row r="8" ht="15.75" spans="1:10">
      <c r="A8" s="21" t="s">
        <v>171</v>
      </c>
      <c r="B8" s="22"/>
      <c r="C8" s="22"/>
      <c r="D8" s="22"/>
      <c r="E8" s="22"/>
      <c r="F8" s="22"/>
      <c r="G8" s="22"/>
      <c r="H8" s="22"/>
      <c r="I8" s="22"/>
      <c r="J8" s="22"/>
    </row>
    <row r="9" spans="1:13">
      <c r="A9" s="23" t="s">
        <v>213</v>
      </c>
      <c r="B9" s="24" t="s">
        <v>214</v>
      </c>
      <c r="C9" s="24" t="s">
        <v>215</v>
      </c>
      <c r="D9" s="24" t="str">
        <f>"0,6645"</f>
        <v>0,6645</v>
      </c>
      <c r="E9" s="23" t="s">
        <v>62</v>
      </c>
      <c r="F9" s="23" t="s">
        <v>216</v>
      </c>
      <c r="G9" s="24" t="s">
        <v>217</v>
      </c>
      <c r="H9" s="49" t="s">
        <v>169</v>
      </c>
      <c r="I9" s="49" t="s">
        <v>169</v>
      </c>
      <c r="J9" s="49"/>
      <c r="K9" s="44" t="str">
        <f>"65,0"</f>
        <v>65,0</v>
      </c>
      <c r="L9" s="45" t="str">
        <f>"43,1925"</f>
        <v>43,1925</v>
      </c>
      <c r="M9" s="23"/>
    </row>
    <row r="10" spans="1:13">
      <c r="A10" s="25" t="s">
        <v>213</v>
      </c>
      <c r="B10" s="26" t="s">
        <v>218</v>
      </c>
      <c r="C10" s="26" t="s">
        <v>215</v>
      </c>
      <c r="D10" s="26" t="str">
        <f>"0,6645"</f>
        <v>0,6645</v>
      </c>
      <c r="E10" s="25" t="s">
        <v>62</v>
      </c>
      <c r="F10" s="25" t="s">
        <v>216</v>
      </c>
      <c r="G10" s="26" t="s">
        <v>217</v>
      </c>
      <c r="H10" s="46" t="s">
        <v>169</v>
      </c>
      <c r="I10" s="46" t="s">
        <v>169</v>
      </c>
      <c r="J10" s="46"/>
      <c r="K10" s="47" t="str">
        <f>"65,0"</f>
        <v>65,0</v>
      </c>
      <c r="L10" s="48" t="str">
        <f>"43,3221"</f>
        <v>43,3221</v>
      </c>
      <c r="M10" s="25"/>
    </row>
    <row r="12" ht="15.75" spans="5:5">
      <c r="E12" s="29" t="s">
        <v>20</v>
      </c>
    </row>
    <row r="13" ht="15.75" spans="5:5">
      <c r="E13" s="29" t="s">
        <v>21</v>
      </c>
    </row>
    <row r="14" ht="15.75" spans="5:5">
      <c r="E14" s="29" t="s">
        <v>22</v>
      </c>
    </row>
    <row r="15" spans="5:5">
      <c r="E15" s="4" t="s">
        <v>23</v>
      </c>
    </row>
    <row r="16" spans="5:5">
      <c r="E16" s="4" t="s">
        <v>24</v>
      </c>
    </row>
    <row r="17" spans="5:5">
      <c r="E17" s="4" t="s">
        <v>25</v>
      </c>
    </row>
    <row r="20" ht="18.75" spans="1:2">
      <c r="A20" s="30" t="s">
        <v>26</v>
      </c>
      <c r="B20" s="31"/>
    </row>
    <row r="21" ht="15.75" spans="1:2">
      <c r="A21" s="32" t="s">
        <v>80</v>
      </c>
      <c r="B21" s="21"/>
    </row>
    <row r="22" ht="15" spans="1:2">
      <c r="A22" s="33"/>
      <c r="B22" s="34" t="s">
        <v>28</v>
      </c>
    </row>
    <row r="23" ht="14.25" spans="1:5">
      <c r="A23" s="35" t="s">
        <v>1</v>
      </c>
      <c r="B23" s="35" t="s">
        <v>29</v>
      </c>
      <c r="C23" s="35" t="s">
        <v>30</v>
      </c>
      <c r="D23" s="35" t="s">
        <v>31</v>
      </c>
      <c r="E23" s="35" t="s">
        <v>204</v>
      </c>
    </row>
    <row r="24" spans="1:5">
      <c r="A24" s="36" t="s">
        <v>219</v>
      </c>
      <c r="B24" s="3" t="s">
        <v>28</v>
      </c>
      <c r="C24" s="3" t="s">
        <v>82</v>
      </c>
      <c r="D24" s="3" t="s">
        <v>211</v>
      </c>
      <c r="E24" s="5" t="s">
        <v>220</v>
      </c>
    </row>
    <row r="27" ht="15.75" spans="1:2">
      <c r="A27" s="32" t="s">
        <v>27</v>
      </c>
      <c r="B27" s="21"/>
    </row>
    <row r="28" ht="15" spans="1:2">
      <c r="A28" s="33"/>
      <c r="B28" s="34" t="s">
        <v>28</v>
      </c>
    </row>
    <row r="29" ht="14.25" spans="1:5">
      <c r="A29" s="35" t="s">
        <v>1</v>
      </c>
      <c r="B29" s="35" t="s">
        <v>29</v>
      </c>
      <c r="C29" s="35" t="s">
        <v>30</v>
      </c>
      <c r="D29" s="35" t="s">
        <v>31</v>
      </c>
      <c r="E29" s="35" t="s">
        <v>204</v>
      </c>
    </row>
    <row r="30" spans="1:5">
      <c r="A30" s="36" t="s">
        <v>221</v>
      </c>
      <c r="B30" s="3" t="s">
        <v>28</v>
      </c>
      <c r="C30" s="3" t="s">
        <v>190</v>
      </c>
      <c r="D30" s="3" t="s">
        <v>217</v>
      </c>
      <c r="E30" s="5" t="s">
        <v>222</v>
      </c>
    </row>
    <row r="32" ht="15" spans="1:2">
      <c r="A32" s="33"/>
      <c r="B32" s="34" t="s">
        <v>84</v>
      </c>
    </row>
    <row r="33" ht="14.25" spans="1:5">
      <c r="A33" s="35" t="s">
        <v>1</v>
      </c>
      <c r="B33" s="35" t="s">
        <v>29</v>
      </c>
      <c r="C33" s="35" t="s">
        <v>30</v>
      </c>
      <c r="D33" s="35" t="s">
        <v>31</v>
      </c>
      <c r="E33" s="35" t="s">
        <v>204</v>
      </c>
    </row>
    <row r="34" spans="1:5">
      <c r="A34" s="36" t="s">
        <v>221</v>
      </c>
      <c r="B34" s="3" t="s">
        <v>141</v>
      </c>
      <c r="C34" s="3" t="s">
        <v>190</v>
      </c>
      <c r="D34" s="3" t="s">
        <v>217</v>
      </c>
      <c r="E34" s="5" t="s">
        <v>223</v>
      </c>
    </row>
  </sheetData>
  <mergeCells count="13">
    <mergeCell ref="G3:J3"/>
    <mergeCell ref="A5:J5"/>
    <mergeCell ref="A8:J8"/>
    <mergeCell ref="A3:A4"/>
    <mergeCell ref="B3:B4"/>
    <mergeCell ref="C3:C4"/>
    <mergeCell ref="D3:D4"/>
    <mergeCell ref="E3:E4"/>
    <mergeCell ref="F3:F4"/>
    <mergeCell ref="K3:K4"/>
    <mergeCell ref="L3:L4"/>
    <mergeCell ref="M3:M4"/>
    <mergeCell ref="A1:M2"/>
  </mergeCells>
  <pageMargins left="0.7" right="0.7" top="0.75" bottom="0.75" header="0.3" footer="0.3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38"/>
  <sheetViews>
    <sheetView workbookViewId="0">
      <selection activeCell="A1" sqref="A1:Y2"/>
    </sheetView>
  </sheetViews>
  <sheetFormatPr defaultColWidth="9.11111111111111" defaultRowHeight="12.75"/>
  <cols>
    <col min="1" max="1" width="24.8888888888889" style="4" customWidth="1"/>
    <col min="2" max="2" width="26.5555555555556" style="3" customWidth="1"/>
    <col min="3" max="3" width="7.55555555555556" style="3" customWidth="1"/>
    <col min="4" max="4" width="8.77777777777778" style="3" customWidth="1"/>
    <col min="5" max="5" width="24.4444444444444" style="4" customWidth="1"/>
    <col min="6" max="6" width="15.5555555555556" style="4" customWidth="1"/>
    <col min="7" max="9" width="4.55555555555556" style="3" customWidth="1"/>
    <col min="10" max="10" width="4.77777777777778" style="3" customWidth="1"/>
    <col min="11" max="11" width="5.77777777777778" style="5" customWidth="1"/>
    <col min="12" max="12" width="7.55555555555556" style="6" customWidth="1"/>
    <col min="13" max="13" width="7.11111111111111" style="4" customWidth="1"/>
    <col min="14" max="16384" width="9.11111111111111" style="7"/>
  </cols>
  <sheetData>
    <row r="1" s="1" customFormat="1" ht="28.95" customHeight="1" spans="1:13">
      <c r="A1" s="8" t="s">
        <v>224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37"/>
    </row>
    <row r="2" s="1" customFormat="1" ht="61.95" customHeight="1" spans="1:13">
      <c r="A2" s="10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38"/>
    </row>
    <row r="3" s="2" customFormat="1" customHeight="1" spans="1:13">
      <c r="A3" s="12" t="s">
        <v>1</v>
      </c>
      <c r="B3" s="13" t="s">
        <v>2</v>
      </c>
      <c r="C3" s="13" t="s">
        <v>3</v>
      </c>
      <c r="D3" s="14" t="s">
        <v>204</v>
      </c>
      <c r="E3" s="14" t="s">
        <v>5</v>
      </c>
      <c r="F3" s="14" t="s">
        <v>6</v>
      </c>
      <c r="G3" s="14" t="s">
        <v>205</v>
      </c>
      <c r="H3" s="14"/>
      <c r="I3" s="14"/>
      <c r="J3" s="14"/>
      <c r="K3" s="14" t="s">
        <v>8</v>
      </c>
      <c r="L3" s="14" t="s">
        <v>9</v>
      </c>
      <c r="M3" s="39" t="s">
        <v>10</v>
      </c>
    </row>
    <row r="4" s="2" customFormat="1" ht="23.25" customHeight="1" spans="1:13">
      <c r="A4" s="15"/>
      <c r="B4" s="16"/>
      <c r="C4" s="16"/>
      <c r="D4" s="16"/>
      <c r="E4" s="16"/>
      <c r="F4" s="16"/>
      <c r="G4" s="16">
        <v>1</v>
      </c>
      <c r="H4" s="16">
        <v>2</v>
      </c>
      <c r="I4" s="16">
        <v>3</v>
      </c>
      <c r="J4" s="16" t="s">
        <v>11</v>
      </c>
      <c r="K4" s="16"/>
      <c r="L4" s="16"/>
      <c r="M4" s="40"/>
    </row>
    <row r="5" s="3" customFormat="1" ht="15.75" spans="1:13">
      <c r="A5" s="17" t="s">
        <v>171</v>
      </c>
      <c r="B5" s="18"/>
      <c r="C5" s="18"/>
      <c r="D5" s="18"/>
      <c r="E5" s="18"/>
      <c r="F5" s="18"/>
      <c r="G5" s="18"/>
      <c r="H5" s="18"/>
      <c r="I5" s="18"/>
      <c r="J5" s="18"/>
      <c r="K5" s="5"/>
      <c r="L5" s="6"/>
      <c r="M5" s="4"/>
    </row>
    <row r="6" s="3" customFormat="1" spans="1:13">
      <c r="A6" s="19" t="s">
        <v>225</v>
      </c>
      <c r="B6" s="20" t="s">
        <v>226</v>
      </c>
      <c r="C6" s="20" t="s">
        <v>227</v>
      </c>
      <c r="D6" s="20" t="str">
        <f>"0,6680"</f>
        <v>0,6680</v>
      </c>
      <c r="E6" s="19" t="s">
        <v>62</v>
      </c>
      <c r="F6" s="19" t="s">
        <v>209</v>
      </c>
      <c r="G6" s="20" t="s">
        <v>228</v>
      </c>
      <c r="H6" s="20" t="s">
        <v>229</v>
      </c>
      <c r="I6" s="41" t="s">
        <v>230</v>
      </c>
      <c r="J6" s="41"/>
      <c r="K6" s="42" t="str">
        <f>"50,0"</f>
        <v>50,0</v>
      </c>
      <c r="L6" s="43" t="str">
        <f>"33,4000"</f>
        <v>33,4000</v>
      </c>
      <c r="M6" s="19"/>
    </row>
    <row r="7" s="3" customFormat="1" spans="1:13">
      <c r="A7" s="4"/>
      <c r="E7" s="4"/>
      <c r="F7" s="4"/>
      <c r="K7" s="5"/>
      <c r="L7" s="6"/>
      <c r="M7" s="4"/>
    </row>
    <row r="8" ht="15.75" spans="1:10">
      <c r="A8" s="21" t="s">
        <v>50</v>
      </c>
      <c r="B8" s="22"/>
      <c r="C8" s="22"/>
      <c r="D8" s="22"/>
      <c r="E8" s="22"/>
      <c r="F8" s="22"/>
      <c r="G8" s="22"/>
      <c r="H8" s="22"/>
      <c r="I8" s="22"/>
      <c r="J8" s="22"/>
    </row>
    <row r="9" spans="1:13">
      <c r="A9" s="23" t="s">
        <v>231</v>
      </c>
      <c r="B9" s="24" t="s">
        <v>232</v>
      </c>
      <c r="C9" s="24" t="s">
        <v>233</v>
      </c>
      <c r="D9" s="24" t="str">
        <f>"0,6307"</f>
        <v>0,6307</v>
      </c>
      <c r="E9" s="23" t="s">
        <v>62</v>
      </c>
      <c r="F9" s="23" t="s">
        <v>234</v>
      </c>
      <c r="G9" s="24" t="s">
        <v>235</v>
      </c>
      <c r="H9" s="24" t="s">
        <v>236</v>
      </c>
      <c r="I9" s="49" t="s">
        <v>230</v>
      </c>
      <c r="J9" s="49"/>
      <c r="K9" s="44" t="str">
        <f>"55,0"</f>
        <v>55,0</v>
      </c>
      <c r="L9" s="45" t="str">
        <f>"34,6885"</f>
        <v>34,6885</v>
      </c>
      <c r="M9" s="23"/>
    </row>
    <row r="10" spans="1:13">
      <c r="A10" s="27" t="s">
        <v>237</v>
      </c>
      <c r="B10" s="28" t="s">
        <v>238</v>
      </c>
      <c r="C10" s="28" t="s">
        <v>239</v>
      </c>
      <c r="D10" s="28" t="str">
        <f>"0,6384"</f>
        <v>0,6384</v>
      </c>
      <c r="E10" s="27" t="s">
        <v>62</v>
      </c>
      <c r="F10" s="27" t="s">
        <v>186</v>
      </c>
      <c r="G10" s="28" t="s">
        <v>235</v>
      </c>
      <c r="H10" s="50" t="s">
        <v>230</v>
      </c>
      <c r="I10" s="50" t="s">
        <v>240</v>
      </c>
      <c r="J10" s="50"/>
      <c r="K10" s="51" t="str">
        <f>"52,5"</f>
        <v>52,5</v>
      </c>
      <c r="L10" s="52" t="str">
        <f>"33,5160"</f>
        <v>33,5160</v>
      </c>
      <c r="M10" s="27"/>
    </row>
    <row r="11" spans="1:13">
      <c r="A11" s="25" t="s">
        <v>241</v>
      </c>
      <c r="B11" s="26" t="s">
        <v>242</v>
      </c>
      <c r="C11" s="26" t="s">
        <v>243</v>
      </c>
      <c r="D11" s="26" t="str">
        <f>"0,6318"</f>
        <v>0,6318</v>
      </c>
      <c r="E11" s="25" t="s">
        <v>62</v>
      </c>
      <c r="F11" s="25" t="s">
        <v>244</v>
      </c>
      <c r="G11" s="46" t="s">
        <v>236</v>
      </c>
      <c r="H11" s="46" t="s">
        <v>236</v>
      </c>
      <c r="I11" s="46" t="s">
        <v>236</v>
      </c>
      <c r="J11" s="46"/>
      <c r="K11" s="47" t="str">
        <f>"0.00"</f>
        <v>0.00</v>
      </c>
      <c r="L11" s="48" t="str">
        <f>"0,0000"</f>
        <v>0,0000</v>
      </c>
      <c r="M11" s="25"/>
    </row>
    <row r="13" ht="15.75" spans="1:10">
      <c r="A13" s="21" t="s">
        <v>104</v>
      </c>
      <c r="B13" s="22"/>
      <c r="C13" s="22"/>
      <c r="D13" s="22"/>
      <c r="E13" s="22"/>
      <c r="F13" s="22"/>
      <c r="G13" s="22"/>
      <c r="H13" s="22"/>
      <c r="I13" s="22"/>
      <c r="J13" s="22"/>
    </row>
    <row r="14" spans="1:13">
      <c r="A14" s="23" t="s">
        <v>245</v>
      </c>
      <c r="B14" s="24" t="s">
        <v>246</v>
      </c>
      <c r="C14" s="24" t="s">
        <v>247</v>
      </c>
      <c r="D14" s="24" t="str">
        <f>"0,5619"</f>
        <v>0,5619</v>
      </c>
      <c r="E14" s="23" t="s">
        <v>62</v>
      </c>
      <c r="F14" s="23" t="s">
        <v>248</v>
      </c>
      <c r="G14" s="24" t="s">
        <v>249</v>
      </c>
      <c r="H14" s="24" t="s">
        <v>217</v>
      </c>
      <c r="I14" s="49" t="s">
        <v>169</v>
      </c>
      <c r="J14" s="49"/>
      <c r="K14" s="44" t="str">
        <f>"65,0"</f>
        <v>65,0</v>
      </c>
      <c r="L14" s="45" t="str">
        <f>"36,5235"</f>
        <v>36,5235</v>
      </c>
      <c r="M14" s="23"/>
    </row>
    <row r="15" spans="1:13">
      <c r="A15" s="27" t="s">
        <v>250</v>
      </c>
      <c r="B15" s="28" t="s">
        <v>251</v>
      </c>
      <c r="C15" s="28" t="s">
        <v>252</v>
      </c>
      <c r="D15" s="28" t="str">
        <f>"0,5838"</f>
        <v>0,5838</v>
      </c>
      <c r="E15" s="27" t="s">
        <v>62</v>
      </c>
      <c r="F15" s="27" t="s">
        <v>40</v>
      </c>
      <c r="G15" s="28" t="s">
        <v>236</v>
      </c>
      <c r="H15" s="28" t="s">
        <v>230</v>
      </c>
      <c r="I15" s="50" t="s">
        <v>240</v>
      </c>
      <c r="J15" s="50"/>
      <c r="K15" s="51" t="str">
        <f>"57,5"</f>
        <v>57,5</v>
      </c>
      <c r="L15" s="52" t="str">
        <f>"33,5685"</f>
        <v>33,5685</v>
      </c>
      <c r="M15" s="27"/>
    </row>
    <row r="16" spans="1:13">
      <c r="A16" s="25" t="s">
        <v>253</v>
      </c>
      <c r="B16" s="26" t="s">
        <v>254</v>
      </c>
      <c r="C16" s="26" t="s">
        <v>255</v>
      </c>
      <c r="D16" s="26" t="str">
        <f>"0,5657"</f>
        <v>0,5657</v>
      </c>
      <c r="E16" s="25" t="s">
        <v>156</v>
      </c>
      <c r="F16" s="25" t="s">
        <v>40</v>
      </c>
      <c r="G16" s="26" t="s">
        <v>229</v>
      </c>
      <c r="H16" s="26" t="s">
        <v>236</v>
      </c>
      <c r="I16" s="46" t="s">
        <v>240</v>
      </c>
      <c r="J16" s="46"/>
      <c r="K16" s="47" t="str">
        <f>"55,0"</f>
        <v>55,0</v>
      </c>
      <c r="L16" s="48" t="str">
        <f>"32,6069"</f>
        <v>32,6069</v>
      </c>
      <c r="M16" s="25"/>
    </row>
    <row r="18" ht="15.75" spans="5:5">
      <c r="E18" s="29" t="s">
        <v>20</v>
      </c>
    </row>
    <row r="19" ht="15.75" spans="5:5">
      <c r="E19" s="29" t="s">
        <v>21</v>
      </c>
    </row>
    <row r="20" ht="15.75" spans="5:5">
      <c r="E20" s="29" t="s">
        <v>22</v>
      </c>
    </row>
    <row r="21" spans="5:5">
      <c r="E21" s="4" t="s">
        <v>23</v>
      </c>
    </row>
    <row r="22" spans="5:5">
      <c r="E22" s="4" t="s">
        <v>24</v>
      </c>
    </row>
    <row r="23" spans="5:5">
      <c r="E23" s="4" t="s">
        <v>25</v>
      </c>
    </row>
    <row r="26" ht="18.75" spans="1:2">
      <c r="A26" s="30" t="s">
        <v>26</v>
      </c>
      <c r="B26" s="31"/>
    </row>
    <row r="27" ht="15.75" spans="1:2">
      <c r="A27" s="32" t="s">
        <v>27</v>
      </c>
      <c r="B27" s="21"/>
    </row>
    <row r="28" ht="15" spans="1:2">
      <c r="A28" s="33"/>
      <c r="B28" s="34" t="s">
        <v>28</v>
      </c>
    </row>
    <row r="29" ht="14.25" spans="1:5">
      <c r="A29" s="35" t="s">
        <v>1</v>
      </c>
      <c r="B29" s="35" t="s">
        <v>29</v>
      </c>
      <c r="C29" s="35" t="s">
        <v>30</v>
      </c>
      <c r="D29" s="35" t="s">
        <v>31</v>
      </c>
      <c r="E29" s="35" t="s">
        <v>204</v>
      </c>
    </row>
    <row r="30" spans="1:5">
      <c r="A30" s="36" t="s">
        <v>256</v>
      </c>
      <c r="B30" s="3" t="s">
        <v>28</v>
      </c>
      <c r="C30" s="3" t="s">
        <v>136</v>
      </c>
      <c r="D30" s="3" t="s">
        <v>217</v>
      </c>
      <c r="E30" s="5" t="s">
        <v>257</v>
      </c>
    </row>
    <row r="31" spans="1:5">
      <c r="A31" s="36" t="s">
        <v>258</v>
      </c>
      <c r="B31" s="3" t="s">
        <v>28</v>
      </c>
      <c r="C31" s="3" t="s">
        <v>89</v>
      </c>
      <c r="D31" s="3" t="s">
        <v>236</v>
      </c>
      <c r="E31" s="5" t="s">
        <v>259</v>
      </c>
    </row>
    <row r="32" spans="1:5">
      <c r="A32" s="36" t="s">
        <v>260</v>
      </c>
      <c r="B32" s="3" t="s">
        <v>28</v>
      </c>
      <c r="C32" s="3" t="s">
        <v>136</v>
      </c>
      <c r="D32" s="3" t="s">
        <v>230</v>
      </c>
      <c r="E32" s="5" t="s">
        <v>261</v>
      </c>
    </row>
    <row r="33" spans="1:5">
      <c r="A33" s="36" t="s">
        <v>262</v>
      </c>
      <c r="B33" s="3" t="s">
        <v>28</v>
      </c>
      <c r="C33" s="3" t="s">
        <v>89</v>
      </c>
      <c r="D33" s="3" t="s">
        <v>235</v>
      </c>
      <c r="E33" s="5" t="s">
        <v>263</v>
      </c>
    </row>
    <row r="34" spans="1:5">
      <c r="A34" s="36" t="s">
        <v>264</v>
      </c>
      <c r="B34" s="3" t="s">
        <v>28</v>
      </c>
      <c r="C34" s="3" t="s">
        <v>190</v>
      </c>
      <c r="D34" s="3" t="s">
        <v>229</v>
      </c>
      <c r="E34" s="5" t="s">
        <v>265</v>
      </c>
    </row>
    <row r="36" ht="15" spans="1:2">
      <c r="A36" s="33"/>
      <c r="B36" s="34" t="s">
        <v>84</v>
      </c>
    </row>
    <row r="37" ht="14.25" spans="1:5">
      <c r="A37" s="35" t="s">
        <v>1</v>
      </c>
      <c r="B37" s="35" t="s">
        <v>29</v>
      </c>
      <c r="C37" s="35" t="s">
        <v>30</v>
      </c>
      <c r="D37" s="35" t="s">
        <v>31</v>
      </c>
      <c r="E37" s="35" t="s">
        <v>204</v>
      </c>
    </row>
    <row r="38" spans="1:5">
      <c r="A38" s="36" t="s">
        <v>266</v>
      </c>
      <c r="B38" s="3" t="s">
        <v>94</v>
      </c>
      <c r="C38" s="3" t="s">
        <v>136</v>
      </c>
      <c r="D38" s="3" t="s">
        <v>236</v>
      </c>
      <c r="E38" s="5" t="s">
        <v>267</v>
      </c>
    </row>
  </sheetData>
  <mergeCells count="14">
    <mergeCell ref="G3:J3"/>
    <mergeCell ref="A5:J5"/>
    <mergeCell ref="A8:J8"/>
    <mergeCell ref="A13:J13"/>
    <mergeCell ref="A3:A4"/>
    <mergeCell ref="B3:B4"/>
    <mergeCell ref="C3:C4"/>
    <mergeCell ref="D3:D4"/>
    <mergeCell ref="E3:E4"/>
    <mergeCell ref="F3:F4"/>
    <mergeCell ref="K3:K4"/>
    <mergeCell ref="L3:L4"/>
    <mergeCell ref="M3:M4"/>
    <mergeCell ref="A1:M2"/>
  </mergeCells>
  <pageMargins left="0.7" right="0.7" top="0.75" bottom="0.75" header="0.3" footer="0.3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40"/>
  <sheetViews>
    <sheetView workbookViewId="0">
      <selection activeCell="A1" sqref="A1:Y2"/>
    </sheetView>
  </sheetViews>
  <sheetFormatPr defaultColWidth="9.11111111111111" defaultRowHeight="12.75"/>
  <cols>
    <col min="1" max="1" width="24.8888888888889" style="4" customWidth="1"/>
    <col min="2" max="2" width="26.5555555555556" style="3" customWidth="1"/>
    <col min="3" max="3" width="7.55555555555556" style="3" customWidth="1"/>
    <col min="4" max="4" width="8.77777777777778" style="3" customWidth="1"/>
    <col min="5" max="5" width="24.4444444444444" style="4" customWidth="1"/>
    <col min="6" max="6" width="17.6666666666667" style="4" customWidth="1"/>
    <col min="7" max="9" width="4.55555555555556" style="3" customWidth="1"/>
    <col min="10" max="10" width="4.77777777777778" style="3" customWidth="1"/>
    <col min="11" max="11" width="5.77777777777778" style="5" customWidth="1"/>
    <col min="12" max="12" width="7.55555555555556" style="6" customWidth="1"/>
    <col min="13" max="13" width="7.11111111111111" style="4" customWidth="1"/>
    <col min="14" max="16384" width="9.11111111111111" style="7"/>
  </cols>
  <sheetData>
    <row r="1" s="1" customFormat="1" ht="28.95" customHeight="1" spans="1:13">
      <c r="A1" s="8" t="s">
        <v>268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37"/>
    </row>
    <row r="2" s="1" customFormat="1" ht="61.95" customHeight="1" spans="1:13">
      <c r="A2" s="10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38"/>
    </row>
    <row r="3" s="2" customFormat="1" customHeight="1" spans="1:13">
      <c r="A3" s="12" t="s">
        <v>1</v>
      </c>
      <c r="B3" s="13" t="s">
        <v>2</v>
      </c>
      <c r="C3" s="13" t="s">
        <v>3</v>
      </c>
      <c r="D3" s="14" t="s">
        <v>204</v>
      </c>
      <c r="E3" s="14" t="s">
        <v>5</v>
      </c>
      <c r="F3" s="14" t="s">
        <v>6</v>
      </c>
      <c r="G3" s="14" t="s">
        <v>269</v>
      </c>
      <c r="H3" s="14"/>
      <c r="I3" s="14"/>
      <c r="J3" s="14"/>
      <c r="K3" s="14" t="s">
        <v>8</v>
      </c>
      <c r="L3" s="14" t="s">
        <v>9</v>
      </c>
      <c r="M3" s="39" t="s">
        <v>10</v>
      </c>
    </row>
    <row r="4" s="2" customFormat="1" ht="23.25" customHeight="1" spans="1:13">
      <c r="A4" s="15"/>
      <c r="B4" s="16"/>
      <c r="C4" s="16"/>
      <c r="D4" s="16"/>
      <c r="E4" s="16"/>
      <c r="F4" s="16"/>
      <c r="G4" s="16">
        <v>1</v>
      </c>
      <c r="H4" s="16">
        <v>2</v>
      </c>
      <c r="I4" s="16">
        <v>3</v>
      </c>
      <c r="J4" s="16" t="s">
        <v>11</v>
      </c>
      <c r="K4" s="16"/>
      <c r="L4" s="16"/>
      <c r="M4" s="40"/>
    </row>
    <row r="5" s="3" customFormat="1" ht="15.75" spans="1:13">
      <c r="A5" s="17" t="s">
        <v>270</v>
      </c>
      <c r="B5" s="18"/>
      <c r="C5" s="18"/>
      <c r="D5" s="18"/>
      <c r="E5" s="18"/>
      <c r="F5" s="18"/>
      <c r="G5" s="18"/>
      <c r="H5" s="18"/>
      <c r="I5" s="18"/>
      <c r="J5" s="18"/>
      <c r="K5" s="5"/>
      <c r="L5" s="6"/>
      <c r="M5" s="4"/>
    </row>
    <row r="6" s="3" customFormat="1" spans="1:13">
      <c r="A6" s="19" t="s">
        <v>271</v>
      </c>
      <c r="B6" s="20" t="s">
        <v>272</v>
      </c>
      <c r="C6" s="20" t="s">
        <v>273</v>
      </c>
      <c r="D6" s="20" t="str">
        <f>"0,9405"</f>
        <v>0,9405</v>
      </c>
      <c r="E6" s="19" t="s">
        <v>62</v>
      </c>
      <c r="F6" s="19" t="s">
        <v>40</v>
      </c>
      <c r="G6" s="20" t="s">
        <v>274</v>
      </c>
      <c r="H6" s="20" t="s">
        <v>210</v>
      </c>
      <c r="I6" s="41"/>
      <c r="J6" s="41"/>
      <c r="K6" s="42" t="str">
        <f>"30,0"</f>
        <v>30,0</v>
      </c>
      <c r="L6" s="43" t="str">
        <f>"28,2150"</f>
        <v>28,2150</v>
      </c>
      <c r="M6" s="19"/>
    </row>
    <row r="7" s="3" customFormat="1" spans="1:13">
      <c r="A7" s="4"/>
      <c r="E7" s="4"/>
      <c r="F7" s="4"/>
      <c r="K7" s="5"/>
      <c r="L7" s="6"/>
      <c r="M7" s="4"/>
    </row>
    <row r="8" ht="15.75" spans="1:10">
      <c r="A8" s="21" t="s">
        <v>50</v>
      </c>
      <c r="B8" s="22"/>
      <c r="C8" s="22"/>
      <c r="D8" s="22"/>
      <c r="E8" s="22"/>
      <c r="F8" s="22"/>
      <c r="G8" s="22"/>
      <c r="H8" s="22"/>
      <c r="I8" s="22"/>
      <c r="J8" s="22"/>
    </row>
    <row r="9" spans="1:13">
      <c r="A9" s="19" t="s">
        <v>275</v>
      </c>
      <c r="B9" s="20" t="s">
        <v>276</v>
      </c>
      <c r="C9" s="20" t="s">
        <v>277</v>
      </c>
      <c r="D9" s="20" t="str">
        <f>"0,6347"</f>
        <v>0,6347</v>
      </c>
      <c r="E9" s="19" t="s">
        <v>62</v>
      </c>
      <c r="F9" s="19" t="s">
        <v>278</v>
      </c>
      <c r="G9" s="41" t="s">
        <v>217</v>
      </c>
      <c r="H9" s="20" t="s">
        <v>217</v>
      </c>
      <c r="I9" s="20" t="s">
        <v>279</v>
      </c>
      <c r="J9" s="41"/>
      <c r="K9" s="42" t="str">
        <f>"70,0"</f>
        <v>70,0</v>
      </c>
      <c r="L9" s="43" t="str">
        <f>"44,4290"</f>
        <v>44,4290</v>
      </c>
      <c r="M9" s="19"/>
    </row>
    <row r="11" ht="15.75" spans="1:10">
      <c r="A11" s="21" t="s">
        <v>104</v>
      </c>
      <c r="B11" s="22"/>
      <c r="C11" s="22"/>
      <c r="D11" s="22"/>
      <c r="E11" s="22"/>
      <c r="F11" s="22"/>
      <c r="G11" s="22"/>
      <c r="H11" s="22"/>
      <c r="I11" s="22"/>
      <c r="J11" s="22"/>
    </row>
    <row r="12" spans="1:13">
      <c r="A12" s="19" t="s">
        <v>253</v>
      </c>
      <c r="B12" s="20" t="s">
        <v>254</v>
      </c>
      <c r="C12" s="20" t="s">
        <v>255</v>
      </c>
      <c r="D12" s="20" t="str">
        <f>"0,5657"</f>
        <v>0,5657</v>
      </c>
      <c r="E12" s="19" t="s">
        <v>156</v>
      </c>
      <c r="F12" s="19" t="s">
        <v>40</v>
      </c>
      <c r="G12" s="20" t="s">
        <v>230</v>
      </c>
      <c r="H12" s="20" t="s">
        <v>240</v>
      </c>
      <c r="I12" s="20" t="s">
        <v>249</v>
      </c>
      <c r="J12" s="41"/>
      <c r="K12" s="42" t="str">
        <f>"62,5"</f>
        <v>62,5</v>
      </c>
      <c r="L12" s="43" t="str">
        <f>"37,0533"</f>
        <v>37,0533</v>
      </c>
      <c r="M12" s="19"/>
    </row>
    <row r="14" ht="15.75" spans="5:5">
      <c r="E14" s="29" t="s">
        <v>20</v>
      </c>
    </row>
    <row r="15" ht="15.75" spans="5:5">
      <c r="E15" s="29" t="s">
        <v>21</v>
      </c>
    </row>
    <row r="16" ht="15.75" spans="5:5">
      <c r="E16" s="29" t="s">
        <v>22</v>
      </c>
    </row>
    <row r="17" spans="5:5">
      <c r="E17" s="4" t="s">
        <v>23</v>
      </c>
    </row>
    <row r="18" spans="5:5">
      <c r="E18" s="4" t="s">
        <v>24</v>
      </c>
    </row>
    <row r="19" spans="5:5">
      <c r="E19" s="4" t="s">
        <v>25</v>
      </c>
    </row>
    <row r="22" ht="18.75" spans="1:2">
      <c r="A22" s="30" t="s">
        <v>26</v>
      </c>
      <c r="B22" s="31"/>
    </row>
    <row r="23" ht="15.75" spans="1:2">
      <c r="A23" s="32" t="s">
        <v>80</v>
      </c>
      <c r="B23" s="21"/>
    </row>
    <row r="24" ht="15" spans="1:2">
      <c r="A24" s="33"/>
      <c r="B24" s="34" t="s">
        <v>28</v>
      </c>
    </row>
    <row r="25" ht="14.25" spans="1:5">
      <c r="A25" s="35" t="s">
        <v>1</v>
      </c>
      <c r="B25" s="35" t="s">
        <v>29</v>
      </c>
      <c r="C25" s="35" t="s">
        <v>30</v>
      </c>
      <c r="D25" s="35" t="s">
        <v>31</v>
      </c>
      <c r="E25" s="35" t="s">
        <v>204</v>
      </c>
    </row>
    <row r="26" spans="1:5">
      <c r="A26" s="36" t="s">
        <v>280</v>
      </c>
      <c r="B26" s="3" t="s">
        <v>28</v>
      </c>
      <c r="C26" s="3" t="s">
        <v>281</v>
      </c>
      <c r="D26" s="3" t="s">
        <v>210</v>
      </c>
      <c r="E26" s="5" t="s">
        <v>282</v>
      </c>
    </row>
    <row r="29" ht="15.75" spans="1:2">
      <c r="A29" s="32" t="s">
        <v>27</v>
      </c>
      <c r="B29" s="21"/>
    </row>
    <row r="30" ht="15" spans="1:2">
      <c r="A30" s="33"/>
      <c r="B30" s="34" t="s">
        <v>28</v>
      </c>
    </row>
    <row r="31" ht="14.25" spans="1:5">
      <c r="A31" s="35" t="s">
        <v>1</v>
      </c>
      <c r="B31" s="35" t="s">
        <v>29</v>
      </c>
      <c r="C31" s="35" t="s">
        <v>30</v>
      </c>
      <c r="D31" s="35" t="s">
        <v>31</v>
      </c>
      <c r="E31" s="35" t="s">
        <v>204</v>
      </c>
    </row>
    <row r="32" spans="1:5">
      <c r="A32" s="36" t="s">
        <v>283</v>
      </c>
      <c r="B32" s="3" t="s">
        <v>28</v>
      </c>
      <c r="C32" s="3" t="s">
        <v>89</v>
      </c>
      <c r="D32" s="3" t="s">
        <v>175</v>
      </c>
      <c r="E32" s="5" t="s">
        <v>284</v>
      </c>
    </row>
    <row r="34" ht="15" spans="1:2">
      <c r="A34" s="33"/>
      <c r="B34" s="34" t="s">
        <v>285</v>
      </c>
    </row>
    <row r="35" ht="14.25" spans="1:5">
      <c r="A35" s="35" t="s">
        <v>1</v>
      </c>
      <c r="B35" s="35" t="s">
        <v>29</v>
      </c>
      <c r="C35" s="35" t="s">
        <v>30</v>
      </c>
      <c r="D35" s="35" t="s">
        <v>31</v>
      </c>
      <c r="E35" s="35" t="s">
        <v>204</v>
      </c>
    </row>
    <row r="36" spans="1:5">
      <c r="A36" s="36" t="s">
        <v>283</v>
      </c>
      <c r="B36" s="3" t="s">
        <v>286</v>
      </c>
      <c r="C36" s="3" t="s">
        <v>89</v>
      </c>
      <c r="D36" s="3" t="s">
        <v>175</v>
      </c>
      <c r="E36" s="5" t="s">
        <v>284</v>
      </c>
    </row>
    <row r="38" ht="15" spans="1:2">
      <c r="A38" s="33"/>
      <c r="B38" s="34" t="s">
        <v>84</v>
      </c>
    </row>
    <row r="39" ht="14.25" spans="1:5">
      <c r="A39" s="35" t="s">
        <v>1</v>
      </c>
      <c r="B39" s="35" t="s">
        <v>29</v>
      </c>
      <c r="C39" s="35" t="s">
        <v>30</v>
      </c>
      <c r="D39" s="35" t="s">
        <v>31</v>
      </c>
      <c r="E39" s="35" t="s">
        <v>204</v>
      </c>
    </row>
    <row r="40" spans="1:5">
      <c r="A40" s="36" t="s">
        <v>266</v>
      </c>
      <c r="B40" s="3" t="s">
        <v>94</v>
      </c>
      <c r="C40" s="3" t="s">
        <v>136</v>
      </c>
      <c r="D40" s="3" t="s">
        <v>249</v>
      </c>
      <c r="E40" s="5" t="s">
        <v>287</v>
      </c>
    </row>
  </sheetData>
  <mergeCells count="14">
    <mergeCell ref="G3:J3"/>
    <mergeCell ref="A5:J5"/>
    <mergeCell ref="A8:J8"/>
    <mergeCell ref="A11:J11"/>
    <mergeCell ref="A3:A4"/>
    <mergeCell ref="B3:B4"/>
    <mergeCell ref="C3:C4"/>
    <mergeCell ref="D3:D4"/>
    <mergeCell ref="E3:E4"/>
    <mergeCell ref="F3:F4"/>
    <mergeCell ref="K3:K4"/>
    <mergeCell ref="L3:L4"/>
    <mergeCell ref="M3:M4"/>
    <mergeCell ref="A1:M2"/>
  </mergeCells>
  <pageMargins left="0.7" right="0.7" top="0.75" bottom="0.75" header="0.3" footer="0.3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66"/>
  <sheetViews>
    <sheetView topLeftCell="A2" workbookViewId="0">
      <selection activeCell="A1" sqref="A1:Y2"/>
    </sheetView>
  </sheetViews>
  <sheetFormatPr defaultColWidth="9.11111111111111" defaultRowHeight="12.75"/>
  <cols>
    <col min="1" max="1" width="24.8888888888889" style="4" customWidth="1"/>
    <col min="2" max="2" width="26.2222222222222" style="3" customWidth="1"/>
    <col min="3" max="3" width="7.55555555555556" style="3" customWidth="1"/>
    <col min="4" max="4" width="8.77777777777778" style="3" customWidth="1"/>
    <col min="5" max="5" width="17" style="4" customWidth="1"/>
    <col min="6" max="6" width="19.6666666666667" style="4" customWidth="1"/>
    <col min="7" max="9" width="5.55555555555556" style="3" customWidth="1"/>
    <col min="10" max="10" width="4.77777777777778" style="3" customWidth="1"/>
    <col min="11" max="13" width="5.55555555555556" style="3" customWidth="1"/>
    <col min="14" max="14" width="4.77777777777778" style="3" customWidth="1"/>
    <col min="15" max="17" width="5.55555555555556" style="3" customWidth="1"/>
    <col min="18" max="18" width="4.77777777777778" style="3" customWidth="1"/>
    <col min="19" max="19" width="5.77777777777778" style="5" customWidth="1"/>
    <col min="20" max="20" width="8.55555555555556" style="6" customWidth="1"/>
    <col min="21" max="21" width="13.6666666666667" style="4" customWidth="1"/>
    <col min="22" max="16384" width="9.11111111111111" style="7"/>
  </cols>
  <sheetData>
    <row r="1" s="1" customFormat="1" ht="28.95" customHeight="1" spans="1:21">
      <c r="A1" s="8" t="s">
        <v>288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37"/>
    </row>
    <row r="2" s="1" customFormat="1" ht="61.95" customHeight="1" spans="1:21">
      <c r="A2" s="10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38"/>
    </row>
    <row r="3" s="2" customFormat="1" customHeight="1" spans="1:21">
      <c r="A3" s="12" t="s">
        <v>1</v>
      </c>
      <c r="B3" s="13" t="s">
        <v>2</v>
      </c>
      <c r="C3" s="13" t="s">
        <v>3</v>
      </c>
      <c r="D3" s="14" t="s">
        <v>204</v>
      </c>
      <c r="E3" s="14" t="s">
        <v>5</v>
      </c>
      <c r="F3" s="14" t="s">
        <v>6</v>
      </c>
      <c r="G3" s="14" t="s">
        <v>289</v>
      </c>
      <c r="H3" s="14"/>
      <c r="I3" s="14"/>
      <c r="J3" s="14"/>
      <c r="K3" s="14" t="s">
        <v>7</v>
      </c>
      <c r="L3" s="14"/>
      <c r="M3" s="14"/>
      <c r="N3" s="14"/>
      <c r="O3" s="14" t="s">
        <v>290</v>
      </c>
      <c r="P3" s="14"/>
      <c r="Q3" s="14"/>
      <c r="R3" s="14"/>
      <c r="S3" s="14" t="s">
        <v>291</v>
      </c>
      <c r="T3" s="14" t="s">
        <v>9</v>
      </c>
      <c r="U3" s="39" t="s">
        <v>10</v>
      </c>
    </row>
    <row r="4" s="2" customFormat="1" ht="23.25" customHeight="1" spans="1:21">
      <c r="A4" s="15"/>
      <c r="B4" s="16"/>
      <c r="C4" s="16"/>
      <c r="D4" s="16"/>
      <c r="E4" s="16"/>
      <c r="F4" s="16"/>
      <c r="G4" s="16">
        <v>1</v>
      </c>
      <c r="H4" s="16">
        <v>2</v>
      </c>
      <c r="I4" s="16">
        <v>3</v>
      </c>
      <c r="J4" s="16" t="s">
        <v>11</v>
      </c>
      <c r="K4" s="16">
        <v>1</v>
      </c>
      <c r="L4" s="16">
        <v>2</v>
      </c>
      <c r="M4" s="16">
        <v>3</v>
      </c>
      <c r="N4" s="16" t="s">
        <v>11</v>
      </c>
      <c r="O4" s="16">
        <v>1</v>
      </c>
      <c r="P4" s="16">
        <v>2</v>
      </c>
      <c r="Q4" s="16">
        <v>3</v>
      </c>
      <c r="R4" s="16" t="s">
        <v>11</v>
      </c>
      <c r="S4" s="16"/>
      <c r="T4" s="16"/>
      <c r="U4" s="40"/>
    </row>
    <row r="5" s="3" customFormat="1" ht="15.75" spans="1:21">
      <c r="A5" s="17" t="s">
        <v>292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5"/>
      <c r="T5" s="6"/>
      <c r="U5" s="4"/>
    </row>
    <row r="6" s="3" customFormat="1" spans="1:21">
      <c r="A6" s="19" t="s">
        <v>293</v>
      </c>
      <c r="B6" s="20" t="s">
        <v>294</v>
      </c>
      <c r="C6" s="20" t="s">
        <v>295</v>
      </c>
      <c r="D6" s="20" t="str">
        <f>"0,9872"</f>
        <v>0,9872</v>
      </c>
      <c r="E6" s="19" t="s">
        <v>62</v>
      </c>
      <c r="F6" s="19" t="s">
        <v>296</v>
      </c>
      <c r="G6" s="20" t="s">
        <v>187</v>
      </c>
      <c r="H6" s="20" t="s">
        <v>297</v>
      </c>
      <c r="I6" s="20" t="s">
        <v>298</v>
      </c>
      <c r="J6" s="41"/>
      <c r="K6" s="20" t="s">
        <v>235</v>
      </c>
      <c r="L6" s="20" t="s">
        <v>230</v>
      </c>
      <c r="M6" s="41" t="s">
        <v>240</v>
      </c>
      <c r="N6" s="41"/>
      <c r="O6" s="20" t="s">
        <v>187</v>
      </c>
      <c r="P6" s="20" t="s">
        <v>297</v>
      </c>
      <c r="Q6" s="20" t="s">
        <v>299</v>
      </c>
      <c r="R6" s="41"/>
      <c r="S6" s="42" t="str">
        <f>"275,0"</f>
        <v>275,0</v>
      </c>
      <c r="T6" s="43" t="str">
        <f>"271,4800"</f>
        <v>271,4800</v>
      </c>
      <c r="U6" s="19"/>
    </row>
    <row r="7" s="3" customFormat="1" spans="1:21">
      <c r="A7" s="4"/>
      <c r="E7" s="4"/>
      <c r="F7" s="4"/>
      <c r="S7" s="5"/>
      <c r="T7" s="6"/>
      <c r="U7" s="4"/>
    </row>
    <row r="8" ht="15.75" spans="1:18">
      <c r="A8" s="21" t="s">
        <v>36</v>
      </c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</row>
    <row r="9" spans="1:21">
      <c r="A9" s="19" t="s">
        <v>300</v>
      </c>
      <c r="B9" s="20" t="s">
        <v>301</v>
      </c>
      <c r="C9" s="20" t="s">
        <v>302</v>
      </c>
      <c r="D9" s="20" t="str">
        <f>"0,8438"</f>
        <v>0,8438</v>
      </c>
      <c r="E9" s="19" t="s">
        <v>62</v>
      </c>
      <c r="F9" s="19" t="s">
        <v>40</v>
      </c>
      <c r="G9" s="41" t="s">
        <v>303</v>
      </c>
      <c r="H9" s="20" t="s">
        <v>303</v>
      </c>
      <c r="I9" s="20" t="s">
        <v>304</v>
      </c>
      <c r="J9" s="41"/>
      <c r="K9" s="41" t="s">
        <v>212</v>
      </c>
      <c r="L9" s="20" t="s">
        <v>228</v>
      </c>
      <c r="M9" s="41" t="s">
        <v>305</v>
      </c>
      <c r="N9" s="41"/>
      <c r="O9" s="41" t="s">
        <v>303</v>
      </c>
      <c r="P9" s="20" t="s">
        <v>303</v>
      </c>
      <c r="Q9" s="20" t="s">
        <v>304</v>
      </c>
      <c r="R9" s="41"/>
      <c r="S9" s="42" t="str">
        <f>"207,5"</f>
        <v>207,5</v>
      </c>
      <c r="T9" s="43" t="str">
        <f>"175,0885"</f>
        <v>175,0885</v>
      </c>
      <c r="U9" s="19"/>
    </row>
    <row r="11" ht="15.75" spans="1:18">
      <c r="A11" s="21" t="s">
        <v>270</v>
      </c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</row>
    <row r="12" spans="1:21">
      <c r="A12" s="19" t="s">
        <v>306</v>
      </c>
      <c r="B12" s="20" t="s">
        <v>307</v>
      </c>
      <c r="C12" s="20" t="s">
        <v>308</v>
      </c>
      <c r="D12" s="20" t="str">
        <f>"0,8782"</f>
        <v>0,8782</v>
      </c>
      <c r="E12" s="19" t="s">
        <v>62</v>
      </c>
      <c r="F12" s="19" t="s">
        <v>40</v>
      </c>
      <c r="G12" s="41" t="s">
        <v>297</v>
      </c>
      <c r="H12" s="20" t="s">
        <v>298</v>
      </c>
      <c r="I12" s="20" t="s">
        <v>309</v>
      </c>
      <c r="J12" s="41"/>
      <c r="K12" s="41" t="s">
        <v>305</v>
      </c>
      <c r="L12" s="20" t="s">
        <v>305</v>
      </c>
      <c r="M12" s="41" t="s">
        <v>235</v>
      </c>
      <c r="N12" s="41"/>
      <c r="O12" s="20" t="s">
        <v>310</v>
      </c>
      <c r="P12" s="20" t="s">
        <v>298</v>
      </c>
      <c r="Q12" s="20" t="s">
        <v>311</v>
      </c>
      <c r="R12" s="41"/>
      <c r="S12" s="42" t="str">
        <f>"277,5"</f>
        <v>277,5</v>
      </c>
      <c r="T12" s="43" t="str">
        <f>"243,7005"</f>
        <v>243,7005</v>
      </c>
      <c r="U12" s="19" t="s">
        <v>312</v>
      </c>
    </row>
    <row r="14" ht="15.75" spans="1:18">
      <c r="A14" s="21" t="s">
        <v>36</v>
      </c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</row>
    <row r="15" spans="1:21">
      <c r="A15" s="19" t="s">
        <v>313</v>
      </c>
      <c r="B15" s="20" t="s">
        <v>314</v>
      </c>
      <c r="C15" s="20" t="s">
        <v>46</v>
      </c>
      <c r="D15" s="20" t="str">
        <f>"0,7347"</f>
        <v>0,7347</v>
      </c>
      <c r="E15" s="19" t="s">
        <v>315</v>
      </c>
      <c r="F15" s="19" t="s">
        <v>316</v>
      </c>
      <c r="G15" s="20" t="s">
        <v>187</v>
      </c>
      <c r="H15" s="20" t="s">
        <v>317</v>
      </c>
      <c r="I15" s="20" t="s">
        <v>41</v>
      </c>
      <c r="J15" s="41"/>
      <c r="K15" s="20" t="s">
        <v>298</v>
      </c>
      <c r="L15" s="20" t="s">
        <v>41</v>
      </c>
      <c r="M15" s="20" t="s">
        <v>42</v>
      </c>
      <c r="N15" s="41"/>
      <c r="O15" s="41" t="s">
        <v>187</v>
      </c>
      <c r="P15" s="20" t="s">
        <v>187</v>
      </c>
      <c r="Q15" s="20" t="s">
        <v>41</v>
      </c>
      <c r="R15" s="41"/>
      <c r="S15" s="42" t="str">
        <f>"385,0"</f>
        <v>385,0</v>
      </c>
      <c r="T15" s="43" t="str">
        <f>"282,8595"</f>
        <v>282,8595</v>
      </c>
      <c r="U15" s="19"/>
    </row>
    <row r="17" ht="15.75" spans="1:18">
      <c r="A17" s="21" t="s">
        <v>50</v>
      </c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</row>
    <row r="18" spans="1:21">
      <c r="A18" s="19" t="s">
        <v>318</v>
      </c>
      <c r="B18" s="20" t="s">
        <v>319</v>
      </c>
      <c r="C18" s="20" t="s">
        <v>320</v>
      </c>
      <c r="D18" s="20" t="str">
        <f>"0,6262"</f>
        <v>0,6262</v>
      </c>
      <c r="E18" s="19" t="s">
        <v>62</v>
      </c>
      <c r="F18" s="19" t="s">
        <v>321</v>
      </c>
      <c r="G18" s="20" t="s">
        <v>322</v>
      </c>
      <c r="H18" s="20" t="s">
        <v>323</v>
      </c>
      <c r="I18" s="20" t="s">
        <v>324</v>
      </c>
      <c r="J18" s="41"/>
      <c r="K18" s="41" t="s">
        <v>187</v>
      </c>
      <c r="L18" s="20" t="s">
        <v>187</v>
      </c>
      <c r="M18" s="41"/>
      <c r="N18" s="41"/>
      <c r="O18" s="20" t="s">
        <v>325</v>
      </c>
      <c r="P18" s="20" t="s">
        <v>326</v>
      </c>
      <c r="Q18" s="20" t="s">
        <v>322</v>
      </c>
      <c r="R18" s="41"/>
      <c r="S18" s="42" t="str">
        <f>"490,0"</f>
        <v>490,0</v>
      </c>
      <c r="T18" s="43" t="str">
        <f>"306,8380"</f>
        <v>306,8380</v>
      </c>
      <c r="U18" s="19"/>
    </row>
    <row r="20" ht="15.75" spans="1:18">
      <c r="A20" s="21" t="s">
        <v>58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</row>
    <row r="21" spans="1:21">
      <c r="A21" s="23" t="s">
        <v>327</v>
      </c>
      <c r="B21" s="24" t="s">
        <v>328</v>
      </c>
      <c r="C21" s="24" t="s">
        <v>329</v>
      </c>
      <c r="D21" s="24" t="str">
        <f>"0,5873"</f>
        <v>0,5873</v>
      </c>
      <c r="E21" s="23" t="s">
        <v>315</v>
      </c>
      <c r="F21" s="23" t="s">
        <v>316</v>
      </c>
      <c r="G21" s="24" t="s">
        <v>119</v>
      </c>
      <c r="H21" s="24" t="s">
        <v>325</v>
      </c>
      <c r="I21" s="24" t="s">
        <v>322</v>
      </c>
      <c r="J21" s="49"/>
      <c r="K21" s="24" t="s">
        <v>187</v>
      </c>
      <c r="L21" s="49" t="s">
        <v>311</v>
      </c>
      <c r="M21" s="24" t="s">
        <v>309</v>
      </c>
      <c r="N21" s="49"/>
      <c r="O21" s="24" t="s">
        <v>119</v>
      </c>
      <c r="P21" s="24" t="s">
        <v>330</v>
      </c>
      <c r="Q21" s="24" t="s">
        <v>69</v>
      </c>
      <c r="R21" s="49"/>
      <c r="S21" s="44" t="str">
        <f>"487,5"</f>
        <v>487,5</v>
      </c>
      <c r="T21" s="45" t="str">
        <f>"286,3088"</f>
        <v>286,3088</v>
      </c>
      <c r="U21" s="23"/>
    </row>
    <row r="22" spans="1:21">
      <c r="A22" s="25" t="s">
        <v>331</v>
      </c>
      <c r="B22" s="26" t="s">
        <v>332</v>
      </c>
      <c r="C22" s="26" t="s">
        <v>333</v>
      </c>
      <c r="D22" s="26" t="str">
        <f>"0,5861"</f>
        <v>0,5861</v>
      </c>
      <c r="E22" s="25" t="s">
        <v>62</v>
      </c>
      <c r="F22" s="25" t="s">
        <v>40</v>
      </c>
      <c r="G22" s="26" t="s">
        <v>69</v>
      </c>
      <c r="H22" s="26" t="s">
        <v>334</v>
      </c>
      <c r="I22" s="26" t="s">
        <v>64</v>
      </c>
      <c r="J22" s="46"/>
      <c r="K22" s="26" t="s">
        <v>119</v>
      </c>
      <c r="L22" s="46" t="s">
        <v>120</v>
      </c>
      <c r="M22" s="46" t="s">
        <v>120</v>
      </c>
      <c r="N22" s="46"/>
      <c r="O22" s="26" t="s">
        <v>65</v>
      </c>
      <c r="P22" s="26" t="s">
        <v>335</v>
      </c>
      <c r="Q22" s="26" t="s">
        <v>336</v>
      </c>
      <c r="R22" s="46"/>
      <c r="S22" s="47" t="str">
        <f>"602,5"</f>
        <v>602,5</v>
      </c>
      <c r="T22" s="48" t="str">
        <f>"353,1252"</f>
        <v>353,1252</v>
      </c>
      <c r="U22" s="25"/>
    </row>
    <row r="24" ht="15.75" spans="1:18">
      <c r="A24" s="21" t="s">
        <v>104</v>
      </c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</row>
    <row r="25" spans="1:21">
      <c r="A25" s="19" t="s">
        <v>337</v>
      </c>
      <c r="B25" s="20" t="s">
        <v>338</v>
      </c>
      <c r="C25" s="20" t="s">
        <v>184</v>
      </c>
      <c r="D25" s="20" t="str">
        <f>"0,5591"</f>
        <v>0,5591</v>
      </c>
      <c r="E25" s="19" t="s">
        <v>315</v>
      </c>
      <c r="F25" s="19" t="s">
        <v>316</v>
      </c>
      <c r="G25" s="41" t="s">
        <v>114</v>
      </c>
      <c r="H25" s="41" t="s">
        <v>114</v>
      </c>
      <c r="I25" s="41" t="s">
        <v>114</v>
      </c>
      <c r="J25" s="41"/>
      <c r="K25" s="41" t="s">
        <v>47</v>
      </c>
      <c r="L25" s="41"/>
      <c r="M25" s="41"/>
      <c r="N25" s="41"/>
      <c r="O25" s="41" t="s">
        <v>323</v>
      </c>
      <c r="P25" s="41"/>
      <c r="Q25" s="41"/>
      <c r="R25" s="41"/>
      <c r="S25" s="42" t="str">
        <f>"0.00"</f>
        <v>0.00</v>
      </c>
      <c r="T25" s="43" t="str">
        <f>"0,0000"</f>
        <v>0,0000</v>
      </c>
      <c r="U25" s="19"/>
    </row>
    <row r="27" ht="15.75" spans="1:18">
      <c r="A27" s="21" t="s">
        <v>12</v>
      </c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</row>
    <row r="28" spans="1:21">
      <c r="A28" s="23" t="s">
        <v>339</v>
      </c>
      <c r="B28" s="24" t="s">
        <v>340</v>
      </c>
      <c r="C28" s="24" t="s">
        <v>341</v>
      </c>
      <c r="D28" s="24" t="str">
        <f>"0,5436"</f>
        <v>0,5436</v>
      </c>
      <c r="E28" s="23" t="s">
        <v>315</v>
      </c>
      <c r="F28" s="23" t="s">
        <v>316</v>
      </c>
      <c r="G28" s="24" t="s">
        <v>323</v>
      </c>
      <c r="H28" s="24" t="s">
        <v>65</v>
      </c>
      <c r="I28" s="24" t="s">
        <v>342</v>
      </c>
      <c r="J28" s="49"/>
      <c r="K28" s="24" t="s">
        <v>119</v>
      </c>
      <c r="L28" s="24" t="s">
        <v>343</v>
      </c>
      <c r="M28" s="24" t="s">
        <v>344</v>
      </c>
      <c r="N28" s="49"/>
      <c r="O28" s="49" t="s">
        <v>65</v>
      </c>
      <c r="P28" s="24" t="s">
        <v>65</v>
      </c>
      <c r="Q28" s="24" t="s">
        <v>345</v>
      </c>
      <c r="R28" s="49"/>
      <c r="S28" s="44" t="str">
        <f>"640,0"</f>
        <v>640,0</v>
      </c>
      <c r="T28" s="45" t="str">
        <f>"347,9040"</f>
        <v>347,9040</v>
      </c>
      <c r="U28" s="23"/>
    </row>
    <row r="29" spans="1:21">
      <c r="A29" s="25" t="s">
        <v>346</v>
      </c>
      <c r="B29" s="26" t="s">
        <v>347</v>
      </c>
      <c r="C29" s="26" t="s">
        <v>348</v>
      </c>
      <c r="D29" s="26" t="str">
        <f>"0,5393"</f>
        <v>0,5393</v>
      </c>
      <c r="E29" s="25" t="s">
        <v>62</v>
      </c>
      <c r="F29" s="25" t="s">
        <v>349</v>
      </c>
      <c r="G29" s="26" t="s">
        <v>69</v>
      </c>
      <c r="H29" s="26" t="s">
        <v>350</v>
      </c>
      <c r="I29" s="26" t="s">
        <v>323</v>
      </c>
      <c r="J29" s="46"/>
      <c r="K29" s="26" t="s">
        <v>42</v>
      </c>
      <c r="L29" s="26" t="s">
        <v>43</v>
      </c>
      <c r="M29" s="26" t="s">
        <v>119</v>
      </c>
      <c r="N29" s="46"/>
      <c r="O29" s="26" t="s">
        <v>323</v>
      </c>
      <c r="P29" s="26" t="s">
        <v>64</v>
      </c>
      <c r="Q29" s="26" t="s">
        <v>71</v>
      </c>
      <c r="R29" s="46"/>
      <c r="S29" s="47" t="str">
        <f>"575,0"</f>
        <v>575,0</v>
      </c>
      <c r="T29" s="48" t="str">
        <f>"310,0975"</f>
        <v>310,0975</v>
      </c>
      <c r="U29" s="25"/>
    </row>
    <row r="31" ht="15.75" spans="1:18">
      <c r="A31" s="21" t="s">
        <v>351</v>
      </c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</row>
    <row r="32" spans="1:21">
      <c r="A32" s="19" t="s">
        <v>352</v>
      </c>
      <c r="B32" s="20" t="s">
        <v>353</v>
      </c>
      <c r="C32" s="20" t="s">
        <v>354</v>
      </c>
      <c r="D32" s="20" t="str">
        <f>"0,5139"</f>
        <v>0,5139</v>
      </c>
      <c r="E32" s="19" t="s">
        <v>315</v>
      </c>
      <c r="F32" s="19" t="s">
        <v>316</v>
      </c>
      <c r="G32" s="20" t="s">
        <v>323</v>
      </c>
      <c r="H32" s="20" t="s">
        <v>324</v>
      </c>
      <c r="I32" s="41" t="s">
        <v>71</v>
      </c>
      <c r="J32" s="41"/>
      <c r="K32" s="20" t="s">
        <v>119</v>
      </c>
      <c r="L32" s="20" t="s">
        <v>343</v>
      </c>
      <c r="M32" s="41" t="s">
        <v>344</v>
      </c>
      <c r="N32" s="41"/>
      <c r="O32" s="20" t="s">
        <v>323</v>
      </c>
      <c r="P32" s="20" t="s">
        <v>65</v>
      </c>
      <c r="Q32" s="41" t="s">
        <v>54</v>
      </c>
      <c r="R32" s="41"/>
      <c r="S32" s="42" t="str">
        <f>"595,0"</f>
        <v>595,0</v>
      </c>
      <c r="T32" s="43" t="str">
        <f>"305,7705"</f>
        <v>305,7705</v>
      </c>
      <c r="U32" s="19"/>
    </row>
    <row r="34" ht="15.75" spans="5:5">
      <c r="E34" s="29" t="s">
        <v>20</v>
      </c>
    </row>
    <row r="35" ht="15.75" spans="5:5">
      <c r="E35" s="29" t="s">
        <v>21</v>
      </c>
    </row>
    <row r="36" ht="15.75" spans="5:5">
      <c r="E36" s="29" t="s">
        <v>22</v>
      </c>
    </row>
    <row r="37" spans="5:5">
      <c r="E37" s="4" t="s">
        <v>23</v>
      </c>
    </row>
    <row r="38" spans="5:5">
      <c r="E38" s="4" t="s">
        <v>24</v>
      </c>
    </row>
    <row r="39" spans="5:5">
      <c r="E39" s="4" t="s">
        <v>25</v>
      </c>
    </row>
    <row r="42" ht="18.75" spans="1:2">
      <c r="A42" s="30" t="s">
        <v>26</v>
      </c>
      <c r="B42" s="31"/>
    </row>
    <row r="43" ht="15.75" spans="1:2">
      <c r="A43" s="32" t="s">
        <v>80</v>
      </c>
      <c r="B43" s="21"/>
    </row>
    <row r="44" ht="15" spans="1:2">
      <c r="A44" s="33"/>
      <c r="B44" s="34" t="s">
        <v>355</v>
      </c>
    </row>
    <row r="45" ht="14.25" spans="1:5">
      <c r="A45" s="35" t="s">
        <v>1</v>
      </c>
      <c r="B45" s="35" t="s">
        <v>29</v>
      </c>
      <c r="C45" s="35" t="s">
        <v>30</v>
      </c>
      <c r="D45" s="35" t="s">
        <v>356</v>
      </c>
      <c r="E45" s="35" t="s">
        <v>204</v>
      </c>
    </row>
    <row r="46" spans="1:5">
      <c r="A46" s="36" t="s">
        <v>357</v>
      </c>
      <c r="B46" s="3" t="s">
        <v>358</v>
      </c>
      <c r="C46" s="3" t="s">
        <v>82</v>
      </c>
      <c r="D46" s="3" t="s">
        <v>359</v>
      </c>
      <c r="E46" s="5" t="s">
        <v>360</v>
      </c>
    </row>
    <row r="48" ht="15" spans="1:2">
      <c r="A48" s="33"/>
      <c r="B48" s="34" t="s">
        <v>28</v>
      </c>
    </row>
    <row r="49" ht="14.25" spans="1:5">
      <c r="A49" s="35" t="s">
        <v>1</v>
      </c>
      <c r="B49" s="35" t="s">
        <v>29</v>
      </c>
      <c r="C49" s="35" t="s">
        <v>30</v>
      </c>
      <c r="D49" s="35" t="s">
        <v>356</v>
      </c>
      <c r="E49" s="35" t="s">
        <v>204</v>
      </c>
    </row>
    <row r="50" spans="1:5">
      <c r="A50" s="36" t="s">
        <v>361</v>
      </c>
      <c r="B50" s="3" t="s">
        <v>28</v>
      </c>
      <c r="C50" s="3" t="s">
        <v>362</v>
      </c>
      <c r="D50" s="3" t="s">
        <v>363</v>
      </c>
      <c r="E50" s="5" t="s">
        <v>364</v>
      </c>
    </row>
    <row r="53" ht="15.75" spans="1:2">
      <c r="A53" s="32" t="s">
        <v>27</v>
      </c>
      <c r="B53" s="21"/>
    </row>
    <row r="54" ht="15" spans="1:2">
      <c r="A54" s="33"/>
      <c r="B54" s="34" t="s">
        <v>160</v>
      </c>
    </row>
    <row r="55" ht="14.25" spans="1:5">
      <c r="A55" s="35" t="s">
        <v>1</v>
      </c>
      <c r="B55" s="35" t="s">
        <v>29</v>
      </c>
      <c r="C55" s="35" t="s">
        <v>30</v>
      </c>
      <c r="D55" s="35" t="s">
        <v>356</v>
      </c>
      <c r="E55" s="35" t="s">
        <v>204</v>
      </c>
    </row>
    <row r="56" spans="1:5">
      <c r="A56" s="36" t="s">
        <v>365</v>
      </c>
      <c r="B56" s="3" t="s">
        <v>366</v>
      </c>
      <c r="C56" s="3" t="s">
        <v>196</v>
      </c>
      <c r="D56" s="3" t="s">
        <v>367</v>
      </c>
      <c r="E56" s="5" t="s">
        <v>368</v>
      </c>
    </row>
    <row r="57" spans="1:5">
      <c r="A57" s="36" t="s">
        <v>369</v>
      </c>
      <c r="B57" s="3" t="s">
        <v>370</v>
      </c>
      <c r="C57" s="3" t="s">
        <v>281</v>
      </c>
      <c r="D57" s="3" t="s">
        <v>371</v>
      </c>
      <c r="E57" s="5" t="s">
        <v>372</v>
      </c>
    </row>
    <row r="59" ht="15" spans="1:2">
      <c r="A59" s="33"/>
      <c r="B59" s="34" t="s">
        <v>28</v>
      </c>
    </row>
    <row r="60" ht="14.25" spans="1:5">
      <c r="A60" s="35" t="s">
        <v>1</v>
      </c>
      <c r="B60" s="35" t="s">
        <v>29</v>
      </c>
      <c r="C60" s="35" t="s">
        <v>30</v>
      </c>
      <c r="D60" s="35" t="s">
        <v>356</v>
      </c>
      <c r="E60" s="35" t="s">
        <v>204</v>
      </c>
    </row>
    <row r="61" spans="1:5">
      <c r="A61" s="36" t="s">
        <v>373</v>
      </c>
      <c r="B61" s="3" t="s">
        <v>28</v>
      </c>
      <c r="C61" s="3" t="s">
        <v>196</v>
      </c>
      <c r="D61" s="3" t="s">
        <v>374</v>
      </c>
      <c r="E61" s="5" t="s">
        <v>375</v>
      </c>
    </row>
    <row r="62" spans="1:5">
      <c r="A62" s="36" t="s">
        <v>376</v>
      </c>
      <c r="B62" s="3" t="s">
        <v>28</v>
      </c>
      <c r="C62" s="3" t="s">
        <v>33</v>
      </c>
      <c r="D62" s="3" t="s">
        <v>377</v>
      </c>
      <c r="E62" s="5" t="s">
        <v>378</v>
      </c>
    </row>
    <row r="63" spans="1:5">
      <c r="A63" s="36" t="s">
        <v>379</v>
      </c>
      <c r="B63" s="3" t="s">
        <v>28</v>
      </c>
      <c r="C63" s="3" t="s">
        <v>33</v>
      </c>
      <c r="D63" s="3" t="s">
        <v>380</v>
      </c>
      <c r="E63" s="5" t="s">
        <v>381</v>
      </c>
    </row>
    <row r="64" spans="1:5">
      <c r="A64" s="36" t="s">
        <v>382</v>
      </c>
      <c r="B64" s="3" t="s">
        <v>28</v>
      </c>
      <c r="C64" s="3" t="s">
        <v>89</v>
      </c>
      <c r="D64" s="3" t="s">
        <v>383</v>
      </c>
      <c r="E64" s="5" t="s">
        <v>384</v>
      </c>
    </row>
    <row r="65" spans="1:5">
      <c r="A65" s="36" t="s">
        <v>385</v>
      </c>
      <c r="B65" s="3" t="s">
        <v>28</v>
      </c>
      <c r="C65" s="3" t="s">
        <v>386</v>
      </c>
      <c r="D65" s="3" t="s">
        <v>387</v>
      </c>
      <c r="E65" s="5" t="s">
        <v>388</v>
      </c>
    </row>
    <row r="66" spans="1:5">
      <c r="A66" s="36" t="s">
        <v>389</v>
      </c>
      <c r="B66" s="3" t="s">
        <v>28</v>
      </c>
      <c r="C66" s="3" t="s">
        <v>82</v>
      </c>
      <c r="D66" s="3" t="s">
        <v>390</v>
      </c>
      <c r="E66" s="5" t="s">
        <v>391</v>
      </c>
    </row>
  </sheetData>
  <mergeCells count="22">
    <mergeCell ref="G3:J3"/>
    <mergeCell ref="K3:N3"/>
    <mergeCell ref="O3:R3"/>
    <mergeCell ref="A5:R5"/>
    <mergeCell ref="A8:R8"/>
    <mergeCell ref="A11:R11"/>
    <mergeCell ref="A14:R14"/>
    <mergeCell ref="A17:R17"/>
    <mergeCell ref="A20:R20"/>
    <mergeCell ref="A24:R24"/>
    <mergeCell ref="A27:R27"/>
    <mergeCell ref="A31:R31"/>
    <mergeCell ref="A3:A4"/>
    <mergeCell ref="B3:B4"/>
    <mergeCell ref="C3:C4"/>
    <mergeCell ref="D3:D4"/>
    <mergeCell ref="E3:E4"/>
    <mergeCell ref="F3:F4"/>
    <mergeCell ref="S3:S4"/>
    <mergeCell ref="T3:T4"/>
    <mergeCell ref="U3:U4"/>
    <mergeCell ref="A1:U2"/>
  </mergeCell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21</vt:i4>
      </vt:variant>
    </vt:vector>
  </HeadingPairs>
  <TitlesOfParts>
    <vt:vector size="21" baseType="lpstr">
      <vt:lpstr>19-20-01AWPC MP soft eq. BP</vt:lpstr>
      <vt:lpstr>AWPC MP soft eq. BP</vt:lpstr>
      <vt:lpstr>WPC soft eq. BP</vt:lpstr>
      <vt:lpstr>MR BP 1_2 bw. AWPC</vt:lpstr>
      <vt:lpstr>MR BP 1 bw. AWPC</vt:lpstr>
      <vt:lpstr>WPA SC</vt:lpstr>
      <vt:lpstr>AWPA SC</vt:lpstr>
      <vt:lpstr>AWPA OB</vt:lpstr>
      <vt:lpstr>AWPA raw PL</vt:lpstr>
      <vt:lpstr>AWPA raw BP</vt:lpstr>
      <vt:lpstr>AWPA raw DL</vt:lpstr>
      <vt:lpstr>WPA raw PL</vt:lpstr>
      <vt:lpstr>WPA m.ply BP</vt:lpstr>
      <vt:lpstr>WPA st.ply BP</vt:lpstr>
      <vt:lpstr>WPA raw BP</vt:lpstr>
      <vt:lpstr>WPA raw DL</vt:lpstr>
      <vt:lpstr>«Excalibur»</vt:lpstr>
      <vt:lpstr>«Rus brick»</vt:lpstr>
      <vt:lpstr>«Rus HUB»</vt:lpstr>
      <vt:lpstr>«Rus Axle»</vt:lpstr>
      <vt:lpstr>«Russian Roullette»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Tomchin</dc:creator>
  <cp:lastModifiedBy>Oleg</cp:lastModifiedBy>
  <dcterms:created xsi:type="dcterms:W3CDTF">2002-06-16T13:36:00Z</dcterms:created>
  <cp:lastPrinted>2008-02-22T21:19:00Z</cp:lastPrinted>
  <dcterms:modified xsi:type="dcterms:W3CDTF">2021-11-22T17:11:30Z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1BE40931B5244BD997BF7BFABEA207EC</vt:lpwstr>
  </property>
  <property fmtid="{D5CDD505-2E9C-101B-9397-08002B2CF9AE}" pid="3" name="KSOProductBuildVer">
    <vt:lpwstr>1049-11.2.0.10382</vt:lpwstr>
  </property>
</Properties>
</file>